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autoCompressPictures="0"/>
  <mc:AlternateContent xmlns:mc="http://schemas.openxmlformats.org/markup-compatibility/2006">
    <mc:Choice Requires="x15">
      <x15ac:absPath xmlns:x15ac="http://schemas.microsoft.com/office/spreadsheetml/2010/11/ac" url="https://netorg244579-my.sharepoint.com/personal/sshuford_akoustis_com/Documents/General/Conflict Minerals/2021 CMRT Received/2021 CMRT V6 Submittal/"/>
    </mc:Choice>
  </mc:AlternateContent>
  <xr:revisionPtr revIDLastSave="0" documentId="8_{74E85062-F330-4BFC-B47E-F4C604FB8922}" xr6:coauthVersionLast="47" xr6:coauthVersionMax="47"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28680" yWindow="-105"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B12" i="6"/>
  <c r="G12" i="6" s="1"/>
  <c r="H12" i="6" s="1"/>
  <c r="D12" i="6" s="1"/>
  <c r="B11" i="6"/>
  <c r="G11" i="6" s="1"/>
  <c r="H11" i="6" s="1"/>
  <c r="D11" i="6" s="1"/>
  <c r="B10" i="6"/>
  <c r="G10" i="6" s="1"/>
  <c r="H10" i="6" s="1"/>
  <c r="D10" i="6" s="1"/>
  <c r="B9" i="6"/>
  <c r="G9" i="6" s="1"/>
  <c r="H9" i="6" s="1"/>
  <c r="B8" i="6"/>
  <c r="G8" i="6" s="1"/>
  <c r="H8" i="6" s="1"/>
  <c r="D8" i="6" s="1"/>
  <c r="B7" i="6"/>
  <c r="G7" i="6" s="1"/>
  <c r="H7" i="6" s="1"/>
  <c r="D7" i="6" s="1"/>
  <c r="B6" i="6"/>
  <c r="G6" i="6" s="1"/>
  <c r="B5" i="6"/>
  <c r="F6" i="6" s="1"/>
  <c r="G4" i="6"/>
  <c r="H4" i="6" s="1"/>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G166" i="5" l="1"/>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I764" i="5"/>
  <c r="I2158" i="5"/>
  <c r="I106" i="5"/>
  <c r="G242" i="5"/>
  <c r="G291" i="5"/>
  <c r="AB364" i="5"/>
  <c r="R488" i="5"/>
  <c r="G761" i="5"/>
  <c r="H1178" i="5"/>
  <c r="J1218" i="5"/>
  <c r="J1250" i="5"/>
  <c r="AB1312" i="5"/>
  <c r="F2013" i="5"/>
  <c r="V2061" i="5"/>
  <c r="E2061" i="5" s="1"/>
  <c r="X2061" i="5" s="1"/>
  <c r="AB2065" i="5"/>
  <c r="AB2152" i="5"/>
  <c r="H2474" i="5"/>
  <c r="E171" i="5"/>
  <c r="X171" i="5" s="1"/>
  <c r="AB196" i="5"/>
  <c r="G218" i="5"/>
  <c r="I302" i="5"/>
  <c r="AB467" i="5"/>
  <c r="AB520" i="5"/>
  <c r="AB627" i="5"/>
  <c r="R731" i="5"/>
  <c r="H843" i="5"/>
  <c r="H1208" i="5"/>
  <c r="F1248" i="5"/>
  <c r="AB1753" i="5"/>
  <c r="H2013" i="5"/>
  <c r="F2433" i="5"/>
  <c r="G584" i="5"/>
  <c r="H813" i="5"/>
  <c r="G1166" i="5"/>
  <c r="G1241"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R780" i="5"/>
  <c r="I780" i="5"/>
  <c r="E780" i="5"/>
  <c r="X780" i="5" s="1"/>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127" i="5"/>
  <c r="R127" i="5"/>
  <c r="J127" i="5"/>
  <c r="I127" i="5"/>
  <c r="E127" i="5"/>
  <c r="X127" i="5" s="1"/>
  <c r="T144" i="5"/>
  <c r="S144" i="5"/>
  <c r="T320" i="5"/>
  <c r="S320" i="5"/>
  <c r="V330" i="5"/>
  <c r="G330" i="5" s="1"/>
  <c r="T895" i="5"/>
  <c r="AB895" i="5"/>
  <c r="S895" i="5"/>
  <c r="AB1863" i="5"/>
  <c r="T1863" i="5"/>
  <c r="S1863" i="5"/>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S170" i="5"/>
  <c r="AB170" i="5"/>
  <c r="T170" i="5"/>
  <c r="E452" i="5"/>
  <c r="X452" i="5" s="1"/>
  <c r="H452" i="5"/>
  <c r="F452" i="5"/>
  <c r="S1497" i="5"/>
  <c r="T1497" i="5"/>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J107" i="5"/>
  <c r="S178" i="5"/>
  <c r="AB178" i="5"/>
  <c r="T178" i="5"/>
  <c r="V215" i="5"/>
  <c r="G215" i="5" s="1"/>
  <c r="R299" i="5"/>
  <c r="J299" i="5"/>
  <c r="T312" i="5"/>
  <c r="S312" i="5"/>
  <c r="T379" i="5"/>
  <c r="S379" i="5"/>
  <c r="E392" i="5"/>
  <c r="X392" i="5" s="1"/>
  <c r="I392" i="5"/>
  <c r="H392" i="5"/>
  <c r="S110" i="5"/>
  <c r="AB110"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X527" i="5" s="1"/>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X788" i="5" s="1"/>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X1497" i="5" s="1"/>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F109" i="5"/>
  <c r="R109" i="5"/>
  <c r="G133" i="5"/>
  <c r="R133" i="5"/>
  <c r="F133" i="5"/>
  <c r="F169" i="5"/>
  <c r="R169" i="5"/>
  <c r="G169" i="5"/>
  <c r="E169" i="5"/>
  <c r="X169" i="5" s="1"/>
  <c r="H195" i="5"/>
  <c r="F195" i="5"/>
  <c r="E195" i="5"/>
  <c r="X195" i="5" s="1"/>
  <c r="R195" i="5"/>
  <c r="I195" i="5"/>
  <c r="J195" i="5"/>
  <c r="G195" i="5"/>
  <c r="H139" i="5"/>
  <c r="R139" i="5"/>
  <c r="J139" i="5"/>
  <c r="I139" i="5"/>
  <c r="E139" i="5"/>
  <c r="X139" i="5" s="1"/>
  <c r="F139" i="5"/>
  <c r="E193" i="5"/>
  <c r="X193" i="5" s="1"/>
  <c r="F193" i="5"/>
  <c r="H227" i="5"/>
  <c r="E227" i="5"/>
  <c r="X227" i="5" s="1"/>
  <c r="R227" i="5"/>
  <c r="F227" i="5"/>
  <c r="J227" i="5"/>
  <c r="I227"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H135" i="5"/>
  <c r="F135" i="5"/>
  <c r="R135" i="5"/>
  <c r="J135" i="5"/>
  <c r="I135" i="5"/>
  <c r="G135" i="5"/>
  <c r="E135" i="5"/>
  <c r="X135" i="5" s="1"/>
  <c r="H159" i="5"/>
  <c r="E159" i="5"/>
  <c r="X159" i="5" s="1"/>
  <c r="R159" i="5"/>
  <c r="J159" i="5"/>
  <c r="I159" i="5"/>
  <c r="F159" i="5"/>
  <c r="I373" i="5"/>
  <c r="R373" i="5"/>
  <c r="J373" i="5"/>
  <c r="H373" i="5"/>
  <c r="F373" i="5"/>
  <c r="E373" i="5"/>
  <c r="X373" i="5" s="1"/>
  <c r="E129" i="5"/>
  <c r="X129" i="5" s="1"/>
  <c r="F129" i="5"/>
  <c r="H199" i="5"/>
  <c r="R199" i="5"/>
  <c r="J199" i="5"/>
  <c r="I199" i="5"/>
  <c r="F199" i="5"/>
  <c r="G199" i="5"/>
  <c r="E199" i="5"/>
  <c r="X199" i="5" s="1"/>
  <c r="H131" i="5"/>
  <c r="F131" i="5"/>
  <c r="E131" i="5"/>
  <c r="X131" i="5" s="1"/>
  <c r="I131" i="5"/>
  <c r="R131" i="5"/>
  <c r="J131" i="5"/>
  <c r="G131" i="5"/>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F113" i="5"/>
  <c r="E113" i="5"/>
  <c r="X113" i="5" s="1"/>
  <c r="R113" i="5"/>
  <c r="H155" i="5"/>
  <c r="R155" i="5"/>
  <c r="J155" i="5"/>
  <c r="I155" i="5"/>
  <c r="E155" i="5"/>
  <c r="X155" i="5" s="1"/>
  <c r="F155" i="5"/>
  <c r="H203" i="5"/>
  <c r="R203" i="5"/>
  <c r="J203" i="5"/>
  <c r="I203" i="5"/>
  <c r="E203" i="5"/>
  <c r="X203" i="5" s="1"/>
  <c r="F203" i="5"/>
  <c r="R249" i="5"/>
  <c r="E249" i="5"/>
  <c r="X249" i="5" s="1"/>
  <c r="F249"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X412" i="5" s="1"/>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X424" i="5" s="1"/>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X1054" i="5" s="1"/>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X934" i="5" s="1"/>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X1154" i="5" s="1"/>
  <c r="F1154" i="5"/>
  <c r="J1154" i="5"/>
  <c r="AB1181" i="5"/>
  <c r="V1181" i="5"/>
  <c r="G1181" i="5" s="1"/>
  <c r="AB1189" i="5"/>
  <c r="S1201" i="5"/>
  <c r="AB1201" i="5"/>
  <c r="R1213" i="5"/>
  <c r="H1213" i="5"/>
  <c r="F1213" i="5"/>
  <c r="E1213" i="5"/>
  <c r="X1213" i="5" s="1"/>
  <c r="J1213" i="5"/>
  <c r="S1221" i="5"/>
  <c r="AB1221" i="5"/>
  <c r="T1221" i="5"/>
  <c r="V1224" i="5"/>
  <c r="E1224" i="5" s="1"/>
  <c r="X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F19" i="6"/>
  <c r="X341" i="5"/>
  <c r="X304"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H114" i="5"/>
  <c r="F118" i="5"/>
  <c r="R118" i="5"/>
  <c r="J118"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S109" i="5"/>
  <c r="AB109" i="5"/>
  <c r="E117" i="5"/>
  <c r="X117" i="5" s="1"/>
  <c r="J121" i="5"/>
  <c r="I121" i="5"/>
  <c r="H121" i="5"/>
  <c r="S141" i="5"/>
  <c r="AB141" i="5"/>
  <c r="H146" i="5"/>
  <c r="F150" i="5"/>
  <c r="R150" i="5"/>
  <c r="J150"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H118" i="5"/>
  <c r="F122" i="5"/>
  <c r="R122" i="5"/>
  <c r="J122" i="5"/>
  <c r="J125" i="5"/>
  <c r="I125" i="5"/>
  <c r="H125" i="5"/>
  <c r="T137"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J8" i="6"/>
  <c r="J9" i="6"/>
  <c r="J10" i="6"/>
  <c r="J11" i="6"/>
  <c r="J12" i="6"/>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C105" i="5" l="1"/>
  <c r="B105" i="5"/>
  <c r="B32" i="6"/>
  <c r="C12" i="6"/>
  <c r="C11" i="6"/>
  <c r="C10" i="6"/>
  <c r="C9" i="6"/>
  <c r="C7" i="6"/>
  <c r="C8" i="6"/>
  <c r="C18" i="5"/>
  <c r="B8" i="5"/>
  <c r="B12" i="5"/>
  <c r="B16" i="5"/>
  <c r="B13" i="5"/>
  <c r="B17" i="5"/>
  <c r="B14" i="5"/>
  <c r="B11" i="5"/>
  <c r="B9" i="5"/>
  <c r="B10" i="5"/>
  <c r="B18" i="5"/>
  <c r="B15" i="5"/>
  <c r="C20" i="5"/>
  <c r="B103" i="5"/>
  <c r="B101" i="5"/>
  <c r="B99" i="5"/>
  <c r="B97" i="5"/>
  <c r="B95" i="5"/>
  <c r="B93" i="5"/>
  <c r="B91" i="5"/>
  <c r="B89" i="5"/>
  <c r="B87" i="5"/>
  <c r="B85" i="5"/>
  <c r="B83" i="5"/>
  <c r="B81" i="5"/>
  <c r="B79" i="5"/>
  <c r="B77" i="5"/>
  <c r="C75" i="5"/>
  <c r="C73" i="5"/>
  <c r="C71" i="5"/>
  <c r="C69" i="5"/>
  <c r="C67" i="5"/>
  <c r="C65" i="5"/>
  <c r="C63" i="5"/>
  <c r="C61" i="5"/>
  <c r="C59" i="5"/>
  <c r="C57" i="5"/>
  <c r="C55" i="5"/>
  <c r="C53" i="5"/>
  <c r="C51" i="5"/>
  <c r="C49" i="5"/>
  <c r="C47" i="5"/>
  <c r="C45" i="5"/>
  <c r="C43" i="5"/>
  <c r="C41" i="5"/>
  <c r="C39" i="5"/>
  <c r="B36" i="5"/>
  <c r="B34" i="5"/>
  <c r="B32" i="5"/>
  <c r="B30" i="5"/>
  <c r="B28" i="5"/>
  <c r="B26" i="5"/>
  <c r="B24" i="5"/>
  <c r="C22" i="5"/>
  <c r="C104" i="5"/>
  <c r="C100" i="5"/>
  <c r="C98" i="5"/>
  <c r="C96" i="5"/>
  <c r="C92" i="5"/>
  <c r="C90" i="5"/>
  <c r="C86" i="5"/>
  <c r="C82" i="5"/>
  <c r="C78" i="5"/>
  <c r="B73" i="5"/>
  <c r="B69" i="5"/>
  <c r="B65" i="5"/>
  <c r="B61" i="5"/>
  <c r="B57" i="5"/>
  <c r="B53" i="5"/>
  <c r="B49" i="5"/>
  <c r="B47" i="5"/>
  <c r="B43" i="5"/>
  <c r="B39" i="5"/>
  <c r="C35" i="5"/>
  <c r="C31" i="5"/>
  <c r="C27" i="5"/>
  <c r="C23" i="5"/>
  <c r="B20" i="5"/>
  <c r="B102" i="5"/>
  <c r="B96" i="5"/>
  <c r="B88" i="5"/>
  <c r="B82" i="5"/>
  <c r="C76" i="5"/>
  <c r="C70" i="5"/>
  <c r="C64" i="5"/>
  <c r="C58" i="5"/>
  <c r="C52" i="5"/>
  <c r="C46" i="5"/>
  <c r="C38" i="5"/>
  <c r="B33" i="5"/>
  <c r="B27" i="5"/>
  <c r="C21" i="5"/>
  <c r="C103" i="5"/>
  <c r="C93" i="5"/>
  <c r="C102" i="5"/>
  <c r="C94" i="5"/>
  <c r="C88" i="5"/>
  <c r="C84" i="5"/>
  <c r="C80" i="5"/>
  <c r="B75" i="5"/>
  <c r="B71" i="5"/>
  <c r="B67" i="5"/>
  <c r="B63" i="5"/>
  <c r="B59" i="5"/>
  <c r="B55" i="5"/>
  <c r="B51" i="5"/>
  <c r="B45" i="5"/>
  <c r="B41" i="5"/>
  <c r="C37" i="5"/>
  <c r="C33" i="5"/>
  <c r="C29" i="5"/>
  <c r="C25" i="5"/>
  <c r="B22" i="5"/>
  <c r="B104" i="5"/>
  <c r="B98" i="5"/>
  <c r="B92" i="5"/>
  <c r="B86" i="5"/>
  <c r="B80" i="5"/>
  <c r="C74" i="5"/>
  <c r="C68" i="5"/>
  <c r="C62" i="5"/>
  <c r="C56" i="5"/>
  <c r="C50" i="5"/>
  <c r="C44" i="5"/>
  <c r="C40" i="5"/>
  <c r="B35" i="5"/>
  <c r="B29" i="5"/>
  <c r="B23" i="5"/>
  <c r="C101" i="5"/>
  <c r="C95" i="5"/>
  <c r="C91" i="5"/>
  <c r="B100" i="5"/>
  <c r="B94" i="5"/>
  <c r="B90" i="5"/>
  <c r="B84" i="5"/>
  <c r="B78" i="5"/>
  <c r="C72" i="5"/>
  <c r="C66" i="5"/>
  <c r="C60" i="5"/>
  <c r="C54" i="5"/>
  <c r="C48" i="5"/>
  <c r="C42" i="5"/>
  <c r="B37" i="5"/>
  <c r="B31" i="5"/>
  <c r="B25" i="5"/>
  <c r="C19" i="5"/>
  <c r="C99" i="5"/>
  <c r="C97" i="5"/>
  <c r="C89" i="5"/>
  <c r="C81" i="5"/>
  <c r="B74" i="5"/>
  <c r="B66" i="5"/>
  <c r="B58" i="5"/>
  <c r="B50" i="5"/>
  <c r="B42" i="5"/>
  <c r="C34" i="5"/>
  <c r="C26" i="5"/>
  <c r="B19" i="5"/>
  <c r="C83" i="5"/>
  <c r="B44" i="5"/>
  <c r="B21" i="5"/>
  <c r="C87" i="5"/>
  <c r="C79" i="5"/>
  <c r="B72" i="5"/>
  <c r="B64" i="5"/>
  <c r="B56" i="5"/>
  <c r="B48" i="5"/>
  <c r="B40" i="5"/>
  <c r="C32" i="5"/>
  <c r="C24" i="5"/>
  <c r="B68" i="5"/>
  <c r="B52" i="5"/>
  <c r="C28" i="5"/>
  <c r="C85" i="5"/>
  <c r="C77" i="5"/>
  <c r="B70" i="5"/>
  <c r="B62" i="5"/>
  <c r="B54" i="5"/>
  <c r="B46" i="5"/>
  <c r="B38" i="5"/>
  <c r="C30" i="5"/>
  <c r="B76" i="5"/>
  <c r="C36" i="5"/>
  <c r="B60" i="5"/>
  <c r="C6" i="5"/>
  <c r="C7" i="5"/>
  <c r="B6" i="5"/>
  <c r="B7" i="5"/>
  <c r="C5" i="5"/>
  <c r="B5" i="5"/>
  <c r="E2409" i="5"/>
  <c r="X2409" i="5" s="1"/>
  <c r="I2116" i="5"/>
  <c r="R1774" i="5"/>
  <c r="R1140" i="5"/>
  <c r="H869" i="5"/>
  <c r="G869" i="5"/>
  <c r="E852" i="5"/>
  <c r="X852" i="5" s="1"/>
  <c r="R754" i="5"/>
  <c r="J439" i="5"/>
  <c r="J411" i="5"/>
  <c r="J293" i="5"/>
  <c r="H277" i="5"/>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J1842" i="5"/>
  <c r="H1696" i="5"/>
  <c r="E1317" i="5"/>
  <c r="X1317" i="5" s="1"/>
  <c r="J1086" i="5"/>
  <c r="I524" i="5"/>
  <c r="R439" i="5"/>
  <c r="I293"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I391" i="5"/>
  <c r="F391" i="5"/>
  <c r="G191" i="5"/>
  <c r="F915" i="5"/>
  <c r="H712" i="5"/>
  <c r="H427" i="5"/>
  <c r="H194" i="5"/>
  <c r="I2213" i="5"/>
  <c r="R2213" i="5"/>
  <c r="J2213" i="5"/>
  <c r="H2213" i="5"/>
  <c r="F2213" i="5"/>
  <c r="J2381" i="5"/>
  <c r="I2381" i="5"/>
  <c r="E2381" i="5"/>
  <c r="X2381" i="5" s="1"/>
  <c r="J1309" i="5"/>
  <c r="I1309" i="5"/>
  <c r="J1325" i="5"/>
  <c r="F1325"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B52" i="6"/>
  <c r="G52" i="6" s="1"/>
  <c r="B37" i="6"/>
  <c r="G37" i="6" s="1"/>
  <c r="B42" i="6"/>
  <c r="G42" i="6" s="1"/>
  <c r="B40" i="6"/>
  <c r="G40" i="6" s="1"/>
  <c r="B50" i="6"/>
  <c r="G50" i="6" s="1"/>
  <c r="B25" i="6"/>
  <c r="G25" i="6" s="1"/>
  <c r="B35" i="6"/>
  <c r="G35" i="6" s="1"/>
  <c r="C15" i="5"/>
  <c r="C8" i="5"/>
  <c r="C9" i="5"/>
  <c r="C10" i="5"/>
  <c r="C11" i="5"/>
  <c r="C14" i="5"/>
  <c r="C12" i="5"/>
  <c r="C13" i="5"/>
  <c r="C17" i="5"/>
  <c r="C1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D42" i="6" s="1"/>
  <c r="H27" i="6"/>
  <c r="F68" i="6"/>
  <c r="F32" i="6"/>
  <c r="F52" i="6"/>
  <c r="H52" i="6" s="1"/>
  <c r="D52" i="6" s="1"/>
  <c r="F47" i="6"/>
  <c r="F37" i="6"/>
  <c r="H37" i="6" s="1"/>
  <c r="D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D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V87" i="5" l="1"/>
  <c r="H87" i="5" s="1"/>
  <c r="V102" i="5"/>
  <c r="F102" i="5" s="1"/>
  <c r="V103" i="5"/>
  <c r="R103" i="5" s="1"/>
  <c r="V101" i="5"/>
  <c r="H101" i="5" s="1"/>
  <c r="AB105" i="5"/>
  <c r="S105" i="5"/>
  <c r="T105" i="5"/>
  <c r="V105" i="5"/>
  <c r="G105" i="5" s="1"/>
  <c r="AB18" i="5"/>
  <c r="V91" i="5"/>
  <c r="G91" i="5" s="1"/>
  <c r="AB60" i="5"/>
  <c r="AB38" i="5"/>
  <c r="AB70" i="5"/>
  <c r="AB52" i="5"/>
  <c r="AB40" i="5"/>
  <c r="AB72" i="5"/>
  <c r="AB44" i="5"/>
  <c r="V34" i="5"/>
  <c r="G34" i="5" s="1"/>
  <c r="AB66" i="5"/>
  <c r="V97" i="5"/>
  <c r="G97" i="5" s="1"/>
  <c r="AB31" i="5"/>
  <c r="V54" i="5"/>
  <c r="AB78" i="5"/>
  <c r="AB100" i="5"/>
  <c r="AB23" i="5"/>
  <c r="V44" i="5"/>
  <c r="G44" i="5" s="1"/>
  <c r="V68" i="5"/>
  <c r="G68" i="5" s="1"/>
  <c r="AB92" i="5"/>
  <c r="V25" i="5"/>
  <c r="G25" i="5" s="1"/>
  <c r="AB41" i="5"/>
  <c r="AB59" i="5"/>
  <c r="AB75" i="5"/>
  <c r="V94" i="5"/>
  <c r="G94" i="5" s="1"/>
  <c r="V21" i="5"/>
  <c r="G21" i="5" s="1"/>
  <c r="V46" i="5"/>
  <c r="G46" i="5" s="1"/>
  <c r="V70" i="5"/>
  <c r="G70" i="5" s="1"/>
  <c r="AB96" i="5"/>
  <c r="V27" i="5"/>
  <c r="G27" i="5" s="1"/>
  <c r="AB43" i="5"/>
  <c r="AB57" i="5"/>
  <c r="AB73" i="5"/>
  <c r="V90" i="5"/>
  <c r="G90" i="5" s="1"/>
  <c r="V100" i="5"/>
  <c r="AB26" i="5"/>
  <c r="AB34" i="5"/>
  <c r="V43" i="5"/>
  <c r="V51" i="5"/>
  <c r="G51" i="5" s="1"/>
  <c r="V59" i="5"/>
  <c r="G59" i="5" s="1"/>
  <c r="V67" i="5"/>
  <c r="G67" i="5" s="1"/>
  <c r="V75" i="5"/>
  <c r="G75" i="5" s="1"/>
  <c r="AB83" i="5"/>
  <c r="AB91" i="5"/>
  <c r="AB99" i="5"/>
  <c r="V36" i="5"/>
  <c r="G36" i="5" s="1"/>
  <c r="AB46" i="5"/>
  <c r="V77" i="5"/>
  <c r="G77" i="5" s="1"/>
  <c r="AB68" i="5"/>
  <c r="AB48" i="5"/>
  <c r="V79" i="5"/>
  <c r="G79" i="5" s="1"/>
  <c r="V83" i="5"/>
  <c r="G83" i="5" s="1"/>
  <c r="AB42" i="5"/>
  <c r="AB74" i="5"/>
  <c r="V99" i="5"/>
  <c r="G99" i="5" s="1"/>
  <c r="AB37" i="5"/>
  <c r="V60" i="5"/>
  <c r="G60" i="5" s="1"/>
  <c r="AB84" i="5"/>
  <c r="AB29" i="5"/>
  <c r="V50" i="5"/>
  <c r="G50" i="5" s="1"/>
  <c r="V74" i="5"/>
  <c r="G74" i="5" s="1"/>
  <c r="AB98" i="5"/>
  <c r="V29" i="5"/>
  <c r="G29" i="5" s="1"/>
  <c r="AB45" i="5"/>
  <c r="AB63" i="5"/>
  <c r="V80" i="5"/>
  <c r="AB27" i="5"/>
  <c r="V52" i="5"/>
  <c r="V76" i="5"/>
  <c r="G76" i="5" s="1"/>
  <c r="AB102" i="5"/>
  <c r="V31" i="5"/>
  <c r="G31" i="5" s="1"/>
  <c r="AB47" i="5"/>
  <c r="AB61" i="5"/>
  <c r="V78" i="5"/>
  <c r="G78" i="5" s="1"/>
  <c r="V92" i="5"/>
  <c r="G92" i="5" s="1"/>
  <c r="V104" i="5"/>
  <c r="AB28" i="5"/>
  <c r="AB36" i="5"/>
  <c r="V45" i="5"/>
  <c r="G45" i="5" s="1"/>
  <c r="V53" i="5"/>
  <c r="V61" i="5"/>
  <c r="G61" i="5" s="1"/>
  <c r="V69" i="5"/>
  <c r="AB77" i="5"/>
  <c r="AB85" i="5"/>
  <c r="AB93" i="5"/>
  <c r="AB101" i="5"/>
  <c r="AB76" i="5"/>
  <c r="AB54" i="5"/>
  <c r="V85" i="5"/>
  <c r="V24" i="5"/>
  <c r="G24" i="5" s="1"/>
  <c r="AB56" i="5"/>
  <c r="AB19" i="5"/>
  <c r="AB50" i="5"/>
  <c r="V81" i="5"/>
  <c r="G81" i="5" s="1"/>
  <c r="V19" i="5"/>
  <c r="G19" i="5" s="1"/>
  <c r="V42" i="5"/>
  <c r="G42" i="5" s="1"/>
  <c r="V66" i="5"/>
  <c r="G66" i="5" s="1"/>
  <c r="AB90" i="5"/>
  <c r="V95" i="5"/>
  <c r="AB35" i="5"/>
  <c r="V56" i="5"/>
  <c r="G56" i="5" s="1"/>
  <c r="AB80" i="5"/>
  <c r="AB104" i="5"/>
  <c r="V33" i="5"/>
  <c r="G33" i="5" s="1"/>
  <c r="AB51" i="5"/>
  <c r="AB67" i="5"/>
  <c r="V84" i="5"/>
  <c r="G84" i="5" s="1"/>
  <c r="V93" i="5"/>
  <c r="G93" i="5" s="1"/>
  <c r="AB33" i="5"/>
  <c r="V58" i="5"/>
  <c r="G58" i="5" s="1"/>
  <c r="AB82" i="5"/>
  <c r="AB20" i="5"/>
  <c r="V35" i="5"/>
  <c r="G35" i="5" s="1"/>
  <c r="AB49" i="5"/>
  <c r="AB65" i="5"/>
  <c r="V82" i="5"/>
  <c r="G82" i="5" s="1"/>
  <c r="V96" i="5"/>
  <c r="G96" i="5" s="1"/>
  <c r="V22" i="5"/>
  <c r="AB30" i="5"/>
  <c r="V39" i="5"/>
  <c r="G39" i="5" s="1"/>
  <c r="V47" i="5"/>
  <c r="G47" i="5" s="1"/>
  <c r="V55" i="5"/>
  <c r="G55" i="5" s="1"/>
  <c r="V63" i="5"/>
  <c r="G63" i="5" s="1"/>
  <c r="V71" i="5"/>
  <c r="AB79" i="5"/>
  <c r="AB87" i="5"/>
  <c r="AB95" i="5"/>
  <c r="AB103" i="5"/>
  <c r="V30" i="5"/>
  <c r="G30" i="5" s="1"/>
  <c r="AB62" i="5"/>
  <c r="V28" i="5"/>
  <c r="G28" i="5" s="1"/>
  <c r="V32" i="5"/>
  <c r="G32" i="5" s="1"/>
  <c r="AB64" i="5"/>
  <c r="AB21" i="5"/>
  <c r="V26" i="5"/>
  <c r="G26" i="5" s="1"/>
  <c r="AB58" i="5"/>
  <c r="V89" i="5"/>
  <c r="G89" i="5" s="1"/>
  <c r="AB25" i="5"/>
  <c r="V48" i="5"/>
  <c r="G48" i="5" s="1"/>
  <c r="V72" i="5"/>
  <c r="G72" i="5" s="1"/>
  <c r="AB94" i="5"/>
  <c r="F101" i="5"/>
  <c r="E101" i="5"/>
  <c r="X101" i="5" s="1"/>
  <c r="V40" i="5"/>
  <c r="G40" i="5" s="1"/>
  <c r="V62" i="5"/>
  <c r="G62" i="5" s="1"/>
  <c r="AB86" i="5"/>
  <c r="AB22" i="5"/>
  <c r="V37" i="5"/>
  <c r="G37" i="5" s="1"/>
  <c r="AB55" i="5"/>
  <c r="AB71" i="5"/>
  <c r="V88" i="5"/>
  <c r="G88" i="5" s="1"/>
  <c r="V38" i="5"/>
  <c r="G38" i="5" s="1"/>
  <c r="V64" i="5"/>
  <c r="G64" i="5" s="1"/>
  <c r="AB88" i="5"/>
  <c r="V23" i="5"/>
  <c r="G23" i="5" s="1"/>
  <c r="AB39" i="5"/>
  <c r="AB53" i="5"/>
  <c r="AB69" i="5"/>
  <c r="V86" i="5"/>
  <c r="G86" i="5" s="1"/>
  <c r="V98" i="5"/>
  <c r="G98" i="5" s="1"/>
  <c r="AB24" i="5"/>
  <c r="AB32" i="5"/>
  <c r="V41" i="5"/>
  <c r="G41" i="5" s="1"/>
  <c r="V49" i="5"/>
  <c r="G49" i="5" s="1"/>
  <c r="V57" i="5"/>
  <c r="G57" i="5" s="1"/>
  <c r="V65" i="5"/>
  <c r="G65" i="5" s="1"/>
  <c r="V73" i="5"/>
  <c r="G73" i="5" s="1"/>
  <c r="AB81" i="5"/>
  <c r="AB89" i="5"/>
  <c r="AB97" i="5"/>
  <c r="V20" i="5"/>
  <c r="G20" i="5" s="1"/>
  <c r="V18" i="5"/>
  <c r="G18" i="5" s="1"/>
  <c r="AB6" i="5"/>
  <c r="V6" i="5"/>
  <c r="G6" i="5" s="1"/>
  <c r="AB5" i="5"/>
  <c r="V5" i="5"/>
  <c r="G5" i="5" s="1"/>
  <c r="H46" i="6"/>
  <c r="D46" i="6" s="1"/>
  <c r="H31" i="6"/>
  <c r="C31" i="6" s="1"/>
  <c r="C29" i="6"/>
  <c r="D29" i="6"/>
  <c r="H30" i="6"/>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D49" i="6" s="1"/>
  <c r="H34" i="6"/>
  <c r="H32" i="6"/>
  <c r="C45" i="6"/>
  <c r="C51" i="6"/>
  <c r="D19" i="6"/>
  <c r="C19" i="6"/>
  <c r="K65" i="6"/>
  <c r="D24" i="6"/>
  <c r="C24" i="6"/>
  <c r="D27" i="6"/>
  <c r="C27" i="6"/>
  <c r="C36" i="6"/>
  <c r="C42" i="6"/>
  <c r="C40" i="6"/>
  <c r="C41" i="6"/>
  <c r="C20" i="6"/>
  <c r="D20" i="6"/>
  <c r="C2" i="6"/>
  <c r="B2" i="6"/>
  <c r="C35" i="6"/>
  <c r="F57" i="6"/>
  <c r="H57" i="6" s="1"/>
  <c r="H54" i="6"/>
  <c r="F62" i="6"/>
  <c r="H62" i="6" s="1"/>
  <c r="F58" i="6"/>
  <c r="H58" i="6" s="1"/>
  <c r="F60" i="6"/>
  <c r="H60" i="6" s="1"/>
  <c r="F63" i="6"/>
  <c r="H63" i="6" s="1"/>
  <c r="F59" i="6"/>
  <c r="H59" i="6" s="1"/>
  <c r="F55" i="6"/>
  <c r="C37" i="6"/>
  <c r="D25" i="6"/>
  <c r="C25" i="6"/>
  <c r="D26" i="6"/>
  <c r="C26" i="6"/>
  <c r="D21" i="6"/>
  <c r="C21" i="6"/>
  <c r="C39" i="6"/>
  <c r="D22" i="6"/>
  <c r="C22" i="6"/>
  <c r="H47" i="6"/>
  <c r="D47" i="6" s="1"/>
  <c r="C52" i="6"/>
  <c r="C50" i="6"/>
  <c r="C44" i="6"/>
  <c r="I101" i="5" l="1"/>
  <c r="R101" i="5"/>
  <c r="J101" i="5"/>
  <c r="G101" i="5"/>
  <c r="E103" i="5"/>
  <c r="X103" i="5" s="1"/>
  <c r="I103" i="5"/>
  <c r="F103" i="5"/>
  <c r="G103" i="5"/>
  <c r="J87" i="5"/>
  <c r="R87" i="5"/>
  <c r="E87" i="5"/>
  <c r="X87" i="5" s="1"/>
  <c r="I87" i="5"/>
  <c r="G87" i="5"/>
  <c r="F87" i="5"/>
  <c r="R102" i="5"/>
  <c r="J102" i="5"/>
  <c r="G102" i="5"/>
  <c r="I102" i="5"/>
  <c r="H102" i="5"/>
  <c r="E102" i="5"/>
  <c r="X102" i="5" s="1"/>
  <c r="H103" i="5"/>
  <c r="J103" i="5"/>
  <c r="G68" i="6"/>
  <c r="H68" i="6" s="1"/>
  <c r="D68" i="6" s="1"/>
  <c r="E105" i="5"/>
  <c r="X105" i="5" s="1"/>
  <c r="J105" i="5"/>
  <c r="F105" i="5"/>
  <c r="I105" i="5"/>
  <c r="R105" i="5"/>
  <c r="H105" i="5"/>
  <c r="F91" i="5"/>
  <c r="C46" i="6"/>
  <c r="C34" i="6"/>
  <c r="D34" i="6"/>
  <c r="R91" i="5"/>
  <c r="I91" i="5"/>
  <c r="J91" i="5"/>
  <c r="H91" i="5"/>
  <c r="E91" i="5"/>
  <c r="I22" i="5"/>
  <c r="R22" i="5"/>
  <c r="F22" i="5"/>
  <c r="H22" i="5"/>
  <c r="J22" i="5"/>
  <c r="E22" i="5"/>
  <c r="R82" i="5"/>
  <c r="H82" i="5"/>
  <c r="E82" i="5"/>
  <c r="I82" i="5"/>
  <c r="F82" i="5"/>
  <c r="J82" i="5"/>
  <c r="J35" i="5"/>
  <c r="H35" i="5"/>
  <c r="I35" i="5"/>
  <c r="E35" i="5"/>
  <c r="F35" i="5"/>
  <c r="R35" i="5"/>
  <c r="E58" i="5"/>
  <c r="I58" i="5"/>
  <c r="H58" i="5"/>
  <c r="R58" i="5"/>
  <c r="F58" i="5"/>
  <c r="J58" i="5"/>
  <c r="H95" i="5"/>
  <c r="R95" i="5"/>
  <c r="F95" i="5"/>
  <c r="I95" i="5"/>
  <c r="J95" i="5"/>
  <c r="E95" i="5"/>
  <c r="R85" i="5"/>
  <c r="I85" i="5"/>
  <c r="E85" i="5"/>
  <c r="F85" i="5"/>
  <c r="J85" i="5"/>
  <c r="H85" i="5"/>
  <c r="R69" i="5"/>
  <c r="E69" i="5"/>
  <c r="I69" i="5"/>
  <c r="F69" i="5"/>
  <c r="J69" i="5"/>
  <c r="H69" i="5"/>
  <c r="R53" i="5"/>
  <c r="I53" i="5"/>
  <c r="E53" i="5"/>
  <c r="F53" i="5"/>
  <c r="J53" i="5"/>
  <c r="H53" i="5"/>
  <c r="R52" i="5"/>
  <c r="I52" i="5"/>
  <c r="H52" i="5"/>
  <c r="F52" i="5"/>
  <c r="J52" i="5"/>
  <c r="E52" i="5"/>
  <c r="R80" i="5"/>
  <c r="H80" i="5"/>
  <c r="I80" i="5"/>
  <c r="E80" i="5"/>
  <c r="J80" i="5"/>
  <c r="F80" i="5"/>
  <c r="H29" i="5"/>
  <c r="R29" i="5"/>
  <c r="J29" i="5"/>
  <c r="F29" i="5"/>
  <c r="E29" i="5"/>
  <c r="I29" i="5"/>
  <c r="H79" i="5"/>
  <c r="R79" i="5"/>
  <c r="F79" i="5"/>
  <c r="J79" i="5"/>
  <c r="E79" i="5"/>
  <c r="I79" i="5"/>
  <c r="R77" i="5"/>
  <c r="I77" i="5"/>
  <c r="E77" i="5"/>
  <c r="H77" i="5"/>
  <c r="F77" i="5"/>
  <c r="J77" i="5"/>
  <c r="F43" i="5"/>
  <c r="H43" i="5"/>
  <c r="R43" i="5"/>
  <c r="I43" i="5"/>
  <c r="E43" i="5"/>
  <c r="G43" i="5"/>
  <c r="J43" i="5"/>
  <c r="E27" i="5"/>
  <c r="R27" i="5"/>
  <c r="H27" i="5"/>
  <c r="J27" i="5"/>
  <c r="I27" i="5"/>
  <c r="F27" i="5"/>
  <c r="H54" i="5"/>
  <c r="I54" i="5"/>
  <c r="R54" i="5"/>
  <c r="E54" i="5"/>
  <c r="F54" i="5"/>
  <c r="J54" i="5"/>
  <c r="H19" i="5"/>
  <c r="E19" i="5"/>
  <c r="R19" i="5"/>
  <c r="J19" i="5"/>
  <c r="I19" i="5"/>
  <c r="F19" i="5"/>
  <c r="G104" i="5"/>
  <c r="F104" i="5"/>
  <c r="R104" i="5"/>
  <c r="J104" i="5"/>
  <c r="I104" i="5"/>
  <c r="H104" i="5"/>
  <c r="E104" i="5"/>
  <c r="R78" i="5"/>
  <c r="E78" i="5"/>
  <c r="I78" i="5"/>
  <c r="H78" i="5"/>
  <c r="J78" i="5"/>
  <c r="F78" i="5"/>
  <c r="J31" i="5"/>
  <c r="E31" i="5"/>
  <c r="I31" i="5"/>
  <c r="H31" i="5"/>
  <c r="F31" i="5"/>
  <c r="R31" i="5"/>
  <c r="E74" i="5"/>
  <c r="R74" i="5"/>
  <c r="H74" i="5"/>
  <c r="I74" i="5"/>
  <c r="F74" i="5"/>
  <c r="J74" i="5"/>
  <c r="R60" i="5"/>
  <c r="I60" i="5"/>
  <c r="H60" i="5"/>
  <c r="F60" i="5"/>
  <c r="J60" i="5"/>
  <c r="E60" i="5"/>
  <c r="R36" i="5"/>
  <c r="I36" i="5"/>
  <c r="J36" i="5"/>
  <c r="H36" i="5"/>
  <c r="F36" i="5"/>
  <c r="E36" i="5"/>
  <c r="H75" i="5"/>
  <c r="I75" i="5"/>
  <c r="F75" i="5"/>
  <c r="E75" i="5"/>
  <c r="J75" i="5"/>
  <c r="R75" i="5"/>
  <c r="H59" i="5"/>
  <c r="E59" i="5"/>
  <c r="I59" i="5"/>
  <c r="F59" i="5"/>
  <c r="J59" i="5"/>
  <c r="R59" i="5"/>
  <c r="H90" i="5"/>
  <c r="E90" i="5"/>
  <c r="I90" i="5"/>
  <c r="R90" i="5"/>
  <c r="F90" i="5"/>
  <c r="J90" i="5"/>
  <c r="H70" i="5"/>
  <c r="R70" i="5"/>
  <c r="I70" i="5"/>
  <c r="E70" i="5"/>
  <c r="F70" i="5"/>
  <c r="J70" i="5"/>
  <c r="R21" i="5"/>
  <c r="H21" i="5"/>
  <c r="J21" i="5"/>
  <c r="F21" i="5"/>
  <c r="E21" i="5"/>
  <c r="I21" i="5"/>
  <c r="R44" i="5"/>
  <c r="I44" i="5"/>
  <c r="J44" i="5"/>
  <c r="H44" i="5"/>
  <c r="F44" i="5"/>
  <c r="E44" i="5"/>
  <c r="I97" i="5"/>
  <c r="R97" i="5"/>
  <c r="E97" i="5"/>
  <c r="J97" i="5"/>
  <c r="F97" i="5"/>
  <c r="H97" i="5"/>
  <c r="R20" i="5"/>
  <c r="E20" i="5"/>
  <c r="H20" i="5"/>
  <c r="J20" i="5"/>
  <c r="I20" i="5"/>
  <c r="F20" i="5"/>
  <c r="H23" i="5"/>
  <c r="E23" i="5"/>
  <c r="F23" i="5"/>
  <c r="I23" i="5"/>
  <c r="J23" i="5"/>
  <c r="R23" i="5"/>
  <c r="R88" i="5"/>
  <c r="I88" i="5"/>
  <c r="F88" i="5"/>
  <c r="J88" i="5"/>
  <c r="E88" i="5"/>
  <c r="H88" i="5"/>
  <c r="R37" i="5"/>
  <c r="E37" i="5"/>
  <c r="I37" i="5"/>
  <c r="F37" i="5"/>
  <c r="J37" i="5"/>
  <c r="H37" i="5"/>
  <c r="R62" i="5"/>
  <c r="E62" i="5"/>
  <c r="H62" i="5"/>
  <c r="I62" i="5"/>
  <c r="J62" i="5"/>
  <c r="F62" i="5"/>
  <c r="R48" i="5"/>
  <c r="H48" i="5"/>
  <c r="F48" i="5"/>
  <c r="I48" i="5"/>
  <c r="J48" i="5"/>
  <c r="E48" i="5"/>
  <c r="R65" i="5"/>
  <c r="E65" i="5"/>
  <c r="I65" i="5"/>
  <c r="H65" i="5"/>
  <c r="F65" i="5"/>
  <c r="J65" i="5"/>
  <c r="R49" i="5"/>
  <c r="E49" i="5"/>
  <c r="I49" i="5"/>
  <c r="F49" i="5"/>
  <c r="J49" i="5"/>
  <c r="H49" i="5"/>
  <c r="H86" i="5"/>
  <c r="R86" i="5"/>
  <c r="I86" i="5"/>
  <c r="E86" i="5"/>
  <c r="F86" i="5"/>
  <c r="J86" i="5"/>
  <c r="R64" i="5"/>
  <c r="F64" i="5"/>
  <c r="I64" i="5"/>
  <c r="J64" i="5"/>
  <c r="H64" i="5"/>
  <c r="E64" i="5"/>
  <c r="E89" i="5"/>
  <c r="I89" i="5"/>
  <c r="R89" i="5"/>
  <c r="F89" i="5"/>
  <c r="H89" i="5"/>
  <c r="J89" i="5"/>
  <c r="E28" i="5"/>
  <c r="F28" i="5"/>
  <c r="H28" i="5"/>
  <c r="R28" i="5"/>
  <c r="J28" i="5"/>
  <c r="I28" i="5"/>
  <c r="J63" i="5"/>
  <c r="R63" i="5"/>
  <c r="H63" i="5"/>
  <c r="E63" i="5"/>
  <c r="I63" i="5"/>
  <c r="F63" i="5"/>
  <c r="F47" i="5"/>
  <c r="H47" i="5"/>
  <c r="E47" i="5"/>
  <c r="I47" i="5"/>
  <c r="J47" i="5"/>
  <c r="R47" i="5"/>
  <c r="I93" i="5"/>
  <c r="E93" i="5"/>
  <c r="R93" i="5"/>
  <c r="J93" i="5"/>
  <c r="F93" i="5"/>
  <c r="H93" i="5"/>
  <c r="R66" i="5"/>
  <c r="I66" i="5"/>
  <c r="H66" i="5"/>
  <c r="E66" i="5"/>
  <c r="F66" i="5"/>
  <c r="J66" i="5"/>
  <c r="I18" i="5"/>
  <c r="E18" i="5"/>
  <c r="H18" i="5"/>
  <c r="F18" i="5"/>
  <c r="J18" i="5"/>
  <c r="R18" i="5"/>
  <c r="R40" i="5"/>
  <c r="J40" i="5"/>
  <c r="H40" i="5"/>
  <c r="I40" i="5"/>
  <c r="F40" i="5"/>
  <c r="E40" i="5"/>
  <c r="R72" i="5"/>
  <c r="I72" i="5"/>
  <c r="J72" i="5"/>
  <c r="F72" i="5"/>
  <c r="E72" i="5"/>
  <c r="H72" i="5"/>
  <c r="I26" i="5"/>
  <c r="E26" i="5"/>
  <c r="F26" i="5"/>
  <c r="H26" i="5"/>
  <c r="J26" i="5"/>
  <c r="R26" i="5"/>
  <c r="R32" i="5"/>
  <c r="I32" i="5"/>
  <c r="J32" i="5"/>
  <c r="E32" i="5"/>
  <c r="F32" i="5"/>
  <c r="H32" i="5"/>
  <c r="I30" i="5"/>
  <c r="R30" i="5"/>
  <c r="H30" i="5"/>
  <c r="F30" i="5"/>
  <c r="J30" i="5"/>
  <c r="E30" i="5"/>
  <c r="R96" i="5"/>
  <c r="H96" i="5"/>
  <c r="F96" i="5"/>
  <c r="I96" i="5"/>
  <c r="J96" i="5"/>
  <c r="E96" i="5"/>
  <c r="R24" i="5"/>
  <c r="I24" i="5"/>
  <c r="J24" i="5"/>
  <c r="F24" i="5"/>
  <c r="E24" i="5"/>
  <c r="H24" i="5"/>
  <c r="R61" i="5"/>
  <c r="I61" i="5"/>
  <c r="E61" i="5"/>
  <c r="J61" i="5"/>
  <c r="F61" i="5"/>
  <c r="H61" i="5"/>
  <c r="R45" i="5"/>
  <c r="E45" i="5"/>
  <c r="I45" i="5"/>
  <c r="H45" i="5"/>
  <c r="F45" i="5"/>
  <c r="J45" i="5"/>
  <c r="R76" i="5"/>
  <c r="J76" i="5"/>
  <c r="I76" i="5"/>
  <c r="H76" i="5"/>
  <c r="F76" i="5"/>
  <c r="E76" i="5"/>
  <c r="J99" i="5"/>
  <c r="E99" i="5"/>
  <c r="H99" i="5"/>
  <c r="I99" i="5"/>
  <c r="R99" i="5"/>
  <c r="F99" i="5"/>
  <c r="H83" i="5"/>
  <c r="F83" i="5"/>
  <c r="R83" i="5"/>
  <c r="E83" i="5"/>
  <c r="J83" i="5"/>
  <c r="I83" i="5"/>
  <c r="I25" i="5"/>
  <c r="R25" i="5"/>
  <c r="E25" i="5"/>
  <c r="H25" i="5"/>
  <c r="J25" i="5"/>
  <c r="F25" i="5"/>
  <c r="R34" i="5"/>
  <c r="J34" i="5"/>
  <c r="H34" i="5"/>
  <c r="E34" i="5"/>
  <c r="I34" i="5"/>
  <c r="F34" i="5"/>
  <c r="E73" i="5"/>
  <c r="I73" i="5"/>
  <c r="R73" i="5"/>
  <c r="H73" i="5"/>
  <c r="F73" i="5"/>
  <c r="J73" i="5"/>
  <c r="R57" i="5"/>
  <c r="E57" i="5"/>
  <c r="I57" i="5"/>
  <c r="F57" i="5"/>
  <c r="J57" i="5"/>
  <c r="H57" i="5"/>
  <c r="R41" i="5"/>
  <c r="F41" i="5"/>
  <c r="E41" i="5"/>
  <c r="I41" i="5"/>
  <c r="H41" i="5"/>
  <c r="J41" i="5"/>
  <c r="R98" i="5"/>
  <c r="E98" i="5"/>
  <c r="I98" i="5"/>
  <c r="H98" i="5"/>
  <c r="F98" i="5"/>
  <c r="J98" i="5"/>
  <c r="H38" i="5"/>
  <c r="I38" i="5"/>
  <c r="F38" i="5"/>
  <c r="R38" i="5"/>
  <c r="E38" i="5"/>
  <c r="J38" i="5"/>
  <c r="H71" i="5"/>
  <c r="R71" i="5"/>
  <c r="I71" i="5"/>
  <c r="E71" i="5"/>
  <c r="F71" i="5"/>
  <c r="J71" i="5"/>
  <c r="G71" i="5"/>
  <c r="H55" i="5"/>
  <c r="I55" i="5"/>
  <c r="R55" i="5"/>
  <c r="E55" i="5"/>
  <c r="F55" i="5"/>
  <c r="J55" i="5"/>
  <c r="H39" i="5"/>
  <c r="R39" i="5"/>
  <c r="F39" i="5"/>
  <c r="I39" i="5"/>
  <c r="J39" i="5"/>
  <c r="E39" i="5"/>
  <c r="G22" i="5"/>
  <c r="R84" i="5"/>
  <c r="H84" i="5"/>
  <c r="F84" i="5"/>
  <c r="I84" i="5"/>
  <c r="J84" i="5"/>
  <c r="E84" i="5"/>
  <c r="R33" i="5"/>
  <c r="I33" i="5"/>
  <c r="E33" i="5"/>
  <c r="F33" i="5"/>
  <c r="J33" i="5"/>
  <c r="H33" i="5"/>
  <c r="R56" i="5"/>
  <c r="I56" i="5"/>
  <c r="F56" i="5"/>
  <c r="J56" i="5"/>
  <c r="H56" i="5"/>
  <c r="E56" i="5"/>
  <c r="G95" i="5"/>
  <c r="E42" i="5"/>
  <c r="H42" i="5"/>
  <c r="I42" i="5"/>
  <c r="R42" i="5"/>
  <c r="J42" i="5"/>
  <c r="F42" i="5"/>
  <c r="R81" i="5"/>
  <c r="E81" i="5"/>
  <c r="I81" i="5"/>
  <c r="J81" i="5"/>
  <c r="F81" i="5"/>
  <c r="H81" i="5"/>
  <c r="G85" i="5"/>
  <c r="G69" i="5"/>
  <c r="G53" i="5"/>
  <c r="R92" i="5"/>
  <c r="F92" i="5"/>
  <c r="I92" i="5"/>
  <c r="J92" i="5"/>
  <c r="H92" i="5"/>
  <c r="E92" i="5"/>
  <c r="G52" i="5"/>
  <c r="G80" i="5"/>
  <c r="R50" i="5"/>
  <c r="H50" i="5"/>
  <c r="E50" i="5"/>
  <c r="J50" i="5"/>
  <c r="I50" i="5"/>
  <c r="F50" i="5"/>
  <c r="J67" i="5"/>
  <c r="E67" i="5"/>
  <c r="H67" i="5"/>
  <c r="I67" i="5"/>
  <c r="R67" i="5"/>
  <c r="F67" i="5"/>
  <c r="J51" i="5"/>
  <c r="E51" i="5"/>
  <c r="H51" i="5"/>
  <c r="I51" i="5"/>
  <c r="R51" i="5"/>
  <c r="F51" i="5"/>
  <c r="J100" i="5"/>
  <c r="R100" i="5"/>
  <c r="H100" i="5"/>
  <c r="I100" i="5"/>
  <c r="F100" i="5"/>
  <c r="G100" i="5"/>
  <c r="E100" i="5"/>
  <c r="R46" i="5"/>
  <c r="I46" i="5"/>
  <c r="E46" i="5"/>
  <c r="H46" i="5"/>
  <c r="F46" i="5"/>
  <c r="J46" i="5"/>
  <c r="E94" i="5"/>
  <c r="I94" i="5"/>
  <c r="R94" i="5"/>
  <c r="H94" i="5"/>
  <c r="J94" i="5"/>
  <c r="F94" i="5"/>
  <c r="R68" i="5"/>
  <c r="H68" i="5"/>
  <c r="I68" i="5"/>
  <c r="J68" i="5"/>
  <c r="F68" i="5"/>
  <c r="E68" i="5"/>
  <c r="G54" i="5"/>
  <c r="R6" i="5"/>
  <c r="J6" i="5"/>
  <c r="E6" i="5"/>
  <c r="H6" i="5"/>
  <c r="I6" i="5"/>
  <c r="F6" i="5"/>
  <c r="H5" i="5"/>
  <c r="J5" i="5"/>
  <c r="R5" i="5"/>
  <c r="E5" i="5"/>
  <c r="F5" i="5"/>
  <c r="I5" i="5"/>
  <c r="D31" i="6"/>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49" i="6"/>
  <c r="C47" i="6"/>
  <c r="C60" i="6"/>
  <c r="D60" i="6"/>
  <c r="D58" i="6"/>
  <c r="C58" i="6"/>
  <c r="D63" i="6"/>
  <c r="C63" i="6"/>
  <c r="C62" i="6"/>
  <c r="D62" i="6"/>
  <c r="C54" i="6"/>
  <c r="D54" i="6"/>
  <c r="D57" i="6"/>
  <c r="C57" i="6"/>
  <c r="F56" i="6"/>
  <c r="H56" i="6" s="1"/>
  <c r="H55" i="6"/>
  <c r="D59" i="6"/>
  <c r="C59" i="6"/>
  <c r="T67" i="5"/>
  <c r="T65" i="5"/>
  <c r="T19" i="5"/>
  <c r="T28" i="5"/>
  <c r="T75" i="5"/>
  <c r="T97" i="5"/>
  <c r="T103" i="5"/>
  <c r="T104" i="5"/>
  <c r="T100" i="5"/>
  <c r="T81" i="5"/>
  <c r="T43" i="5"/>
  <c r="T48" i="5"/>
  <c r="T86" i="5"/>
  <c r="T78" i="5"/>
  <c r="T24" i="5"/>
  <c r="T9" i="5"/>
  <c r="T83" i="5"/>
  <c r="T17" i="5"/>
  <c r="T49" i="5"/>
  <c r="T38" i="5"/>
  <c r="T92" i="5"/>
  <c r="T71" i="5"/>
  <c r="T16" i="5"/>
  <c r="S91" i="5"/>
  <c r="T11" i="5"/>
  <c r="T63" i="5"/>
  <c r="T74" i="5"/>
  <c r="T84" i="5"/>
  <c r="T37" i="5"/>
  <c r="T62" i="5"/>
  <c r="T55" i="5"/>
  <c r="T85" i="5"/>
  <c r="T7" i="5"/>
  <c r="S101" i="5"/>
  <c r="T50" i="5"/>
  <c r="T91" i="5"/>
  <c r="T26" i="5"/>
  <c r="T57" i="5"/>
  <c r="T80" i="5"/>
  <c r="T47" i="5"/>
  <c r="T76" i="5"/>
  <c r="T64" i="5"/>
  <c r="T66" i="5"/>
  <c r="T25" i="5"/>
  <c r="T94" i="5"/>
  <c r="T56" i="5"/>
  <c r="T18" i="5"/>
  <c r="T21" i="5"/>
  <c r="T73" i="5"/>
  <c r="T44" i="5"/>
  <c r="T87" i="5"/>
  <c r="T101" i="5"/>
  <c r="T53" i="5"/>
  <c r="T70" i="5"/>
  <c r="T72" i="5"/>
  <c r="T22" i="5"/>
  <c r="T88" i="5"/>
  <c r="T30" i="5"/>
  <c r="T10" i="5"/>
  <c r="T99" i="5"/>
  <c r="T35" i="5"/>
  <c r="T15" i="5"/>
  <c r="T36" i="5"/>
  <c r="T68" i="5"/>
  <c r="T54" i="5"/>
  <c r="T31" i="5"/>
  <c r="T41" i="5"/>
  <c r="T58" i="5"/>
  <c r="T77" i="5"/>
  <c r="T32" i="5"/>
  <c r="T29" i="5"/>
  <c r="T93" i="5"/>
  <c r="S103" i="5"/>
  <c r="T51" i="5"/>
  <c r="T95" i="5"/>
  <c r="T33" i="5"/>
  <c r="T5" i="5"/>
  <c r="T60" i="5"/>
  <c r="T98" i="5"/>
  <c r="T13" i="5"/>
  <c r="T40" i="5"/>
  <c r="T79" i="5"/>
  <c r="T82" i="5"/>
  <c r="T23" i="5"/>
  <c r="T12" i="5"/>
  <c r="T90" i="5"/>
  <c r="T39" i="5"/>
  <c r="T52" i="5"/>
  <c r="T34" i="5"/>
  <c r="T14" i="5"/>
  <c r="T46" i="5"/>
  <c r="T89" i="5"/>
  <c r="T96" i="5"/>
  <c r="T59" i="5"/>
  <c r="T27" i="5"/>
  <c r="T102" i="5"/>
  <c r="T6" i="5"/>
  <c r="T42" i="5"/>
  <c r="T61" i="5"/>
  <c r="T45" i="5"/>
  <c r="T69" i="5"/>
  <c r="T20" i="5"/>
  <c r="T8" i="5"/>
  <c r="C68" i="6" l="1"/>
  <c r="X91" i="5"/>
  <c r="X19" i="5"/>
  <c r="X54" i="5"/>
  <c r="X43" i="5"/>
  <c r="X77" i="5"/>
  <c r="X79" i="5"/>
  <c r="X35" i="5"/>
  <c r="X68" i="5"/>
  <c r="X50" i="5"/>
  <c r="X33" i="5"/>
  <c r="X41" i="5"/>
  <c r="X25" i="5"/>
  <c r="X72" i="5"/>
  <c r="X47" i="5"/>
  <c r="X89" i="5"/>
  <c r="X88" i="5"/>
  <c r="X97" i="5"/>
  <c r="X74" i="5"/>
  <c r="X63" i="5"/>
  <c r="X64" i="5"/>
  <c r="X86" i="5"/>
  <c r="X49" i="5"/>
  <c r="X48" i="5"/>
  <c r="X37" i="5"/>
  <c r="X23" i="5"/>
  <c r="X70" i="5"/>
  <c r="X90" i="5"/>
  <c r="X60" i="5"/>
  <c r="X31" i="5"/>
  <c r="X104" i="5"/>
  <c r="X27" i="5"/>
  <c r="X80" i="5"/>
  <c r="X52" i="5"/>
  <c r="X69" i="5"/>
  <c r="X58" i="5"/>
  <c r="X94" i="5"/>
  <c r="X46" i="5"/>
  <c r="X67" i="5"/>
  <c r="X56" i="5"/>
  <c r="X84" i="5"/>
  <c r="X98" i="5"/>
  <c r="X57" i="5"/>
  <c r="X76" i="5"/>
  <c r="X96" i="5"/>
  <c r="X18" i="5"/>
  <c r="X66" i="5"/>
  <c r="X93" i="5"/>
  <c r="X65" i="5"/>
  <c r="X62" i="5"/>
  <c r="X20" i="5"/>
  <c r="X44" i="5"/>
  <c r="X59" i="5"/>
  <c r="X75" i="5"/>
  <c r="X36" i="5"/>
  <c r="X78" i="5"/>
  <c r="X85" i="5"/>
  <c r="X51" i="5"/>
  <c r="X92" i="5"/>
  <c r="X42" i="5"/>
  <c r="X71" i="5"/>
  <c r="X34" i="5"/>
  <c r="X83" i="5"/>
  <c r="X99" i="5"/>
  <c r="X45" i="5"/>
  <c r="X30" i="5"/>
  <c r="X32" i="5"/>
  <c r="X26" i="5"/>
  <c r="X40" i="5"/>
  <c r="X100" i="5"/>
  <c r="X81" i="5"/>
  <c r="X39" i="5"/>
  <c r="X55" i="5"/>
  <c r="X38" i="5"/>
  <c r="X73" i="5"/>
  <c r="X61" i="5"/>
  <c r="X24" i="5"/>
  <c r="X28" i="5"/>
  <c r="X21" i="5"/>
  <c r="X29" i="5"/>
  <c r="X53" i="5"/>
  <c r="X95" i="5"/>
  <c r="X22" i="5"/>
  <c r="X82" i="5"/>
  <c r="X6" i="5"/>
  <c r="X5" i="5"/>
  <c r="X13" i="5"/>
  <c r="X10" i="5"/>
  <c r="D65" i="6"/>
  <c r="X9" i="5"/>
  <c r="X12" i="5"/>
  <c r="X14" i="5"/>
  <c r="X17" i="5"/>
  <c r="D66" i="6"/>
  <c r="C67" i="6"/>
  <c r="X11" i="5"/>
  <c r="X15" i="5"/>
  <c r="X8" i="5"/>
  <c r="X7" i="5"/>
  <c r="G69" i="6"/>
  <c r="H69" i="6" s="1"/>
  <c r="H70" i="6" s="1"/>
  <c r="D2" i="6" s="1"/>
  <c r="X16" i="5"/>
  <c r="D55" i="6"/>
  <c r="C55" i="6"/>
  <c r="D56" i="6"/>
  <c r="C56" i="6"/>
  <c r="S75" i="5"/>
  <c r="S40" i="5"/>
  <c r="S36" i="5"/>
  <c r="S66" i="5"/>
  <c r="S15" i="5"/>
  <c r="S96" i="5"/>
  <c r="S56" i="5"/>
  <c r="S32" i="5"/>
  <c r="S98" i="5"/>
  <c r="S13" i="5"/>
  <c r="S86" i="5"/>
  <c r="S5" i="5"/>
  <c r="S74" i="5"/>
  <c r="S21" i="5"/>
  <c r="S80" i="5"/>
  <c r="S34" i="5"/>
  <c r="S87" i="5"/>
  <c r="S58" i="5"/>
  <c r="S50" i="5"/>
  <c r="S25" i="5"/>
  <c r="S57" i="5"/>
  <c r="S9" i="5"/>
  <c r="S67" i="5"/>
  <c r="S83" i="5"/>
  <c r="S48" i="5"/>
  <c r="S90" i="5"/>
  <c r="S39" i="5"/>
  <c r="S68" i="5"/>
  <c r="S77" i="5"/>
  <c r="S31" i="5"/>
  <c r="S26" i="5"/>
  <c r="S60" i="5"/>
  <c r="S12" i="5"/>
  <c r="S44" i="5"/>
  <c r="S62" i="5"/>
  <c r="S52" i="5"/>
  <c r="S16" i="5"/>
  <c r="S41" i="5"/>
  <c r="S8" i="5"/>
  <c r="S47" i="5"/>
  <c r="S22" i="5"/>
  <c r="S43" i="5"/>
  <c r="S63" i="5"/>
  <c r="S100" i="5"/>
  <c r="S28" i="5"/>
  <c r="S72" i="5"/>
  <c r="S37" i="5"/>
  <c r="S70" i="5"/>
  <c r="S93" i="5"/>
  <c r="S89" i="5"/>
  <c r="S23" i="5"/>
  <c r="S78" i="5"/>
  <c r="S65" i="5"/>
  <c r="S49" i="5"/>
  <c r="S82" i="5"/>
  <c r="S53" i="5"/>
  <c r="S71" i="5"/>
  <c r="S81" i="5"/>
  <c r="S29" i="5"/>
  <c r="S61" i="5"/>
  <c r="S11" i="5"/>
  <c r="S54" i="5"/>
  <c r="S79" i="5"/>
  <c r="S99" i="5"/>
  <c r="S20" i="5"/>
  <c r="S27" i="5"/>
  <c r="S6" i="5"/>
  <c r="S76" i="5"/>
  <c r="S69" i="5"/>
  <c r="S95" i="5"/>
  <c r="S42" i="5"/>
  <c r="S88" i="5"/>
  <c r="S85" i="5"/>
  <c r="S24" i="5"/>
  <c r="S92" i="5"/>
  <c r="S10" i="5"/>
  <c r="S97" i="5"/>
  <c r="S38" i="5"/>
  <c r="S55" i="5"/>
  <c r="S17" i="5"/>
  <c r="S73" i="5"/>
  <c r="S35" i="5"/>
  <c r="S59" i="5"/>
  <c r="S45" i="5"/>
  <c r="S64" i="5"/>
  <c r="S33" i="5"/>
  <c r="S94" i="5"/>
  <c r="S14" i="5"/>
  <c r="S51" i="5"/>
  <c r="S7" i="5"/>
  <c r="S84" i="5"/>
  <c r="S30" i="5"/>
  <c r="S19" i="5"/>
  <c r="S102" i="5"/>
  <c r="S46" i="5"/>
  <c r="S104" i="5"/>
  <c r="S1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<sst xmlns="http://schemas.openxmlformats.org/spreadsheetml/2006/main" count="21918" uniqueCount="15516">
  <si>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</si>
  <si>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</si>
  <si>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</si>
  <si>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</si>
  <si>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</si>
  <si>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</si>
  <si>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</si>
  <si>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</si>
  <si>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</si>
  <si>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</si>
  <si>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</si>
  <si>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</si>
  <si>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</si>
  <si>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</si>
  <si>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</si>
  <si>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</si>
  <si>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</si>
  <si>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</si>
  <si>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</si>
  <si>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</si>
  <si>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</si>
  <si>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</si>
  <si>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</si>
  <si>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</si>
  <si>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</si>
  <si>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</si>
  <si>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</si>
  <si>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</si>
  <si>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</si>
  <si>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</si>
  <si>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</si>
  <si>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</si>
  <si>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</si>
  <si>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</si>
  <si>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</si>
  <si>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</si>
  <si>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</si>
  <si>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</si>
  <si>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</si>
  <si>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</si>
  <si>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</si>
  <si>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</si>
  <si>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</si>
  <si>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</si>
  <si>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</si>
  <si>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</si>
  <si>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</si>
  <si>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</si>
  <si>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</si>
  <si>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</si>
  <si>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</si>
  <si>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</si>
  <si>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</si>
  <si>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</si>
  <si>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</si>
  <si>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</si>
  <si>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</si>
  <si>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</si>
  <si>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</si>
  <si>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</si>
  <si>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</si>
  <si>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</si>
  <si>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</si>
  <si>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</si>
  <si>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</si>
  <si>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</si>
  <si>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</si>
  <si>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</si>
  <si>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</si>
  <si>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</si>
  <si>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</si>
  <si>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</si>
  <si>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</si>
  <si>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</si>
  <si>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</si>
  <si>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</si>
  <si>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</si>
  <si>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</si>
  <si>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</si>
  <si>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</si>
  <si>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</si>
  <si>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</si>
  <si>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</si>
  <si>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</si>
  <si>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</si>
  <si>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</si>
  <si>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</si>
  <si>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</si>
  <si>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</si>
  <si>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</si>
  <si>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</si>
  <si>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</si>
  <si>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</si>
  <si>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</si>
  <si>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</si>
  <si>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</si>
  <si>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</si>
  <si>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</si>
  <si>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</si>
  <si>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</si>
  <si>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</si>
  <si>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</si>
  <si>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</si>
  <si>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</si>
  <si>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</si>
  <si>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</si>
  <si>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</si>
  <si>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</si>
  <si>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</si>
  <si>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</si>
  <si>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</si>
  <si>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</si>
  <si>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</si>
  <si>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</si>
  <si>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</si>
  <si>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</si>
  <si>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</si>
  <si>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</si>
  <si>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</si>
  <si>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</si>
  <si>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</si>
  <si>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</si>
  <si>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</si>
  <si>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</si>
  <si>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</si>
  <si>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</si>
  <si>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</si>
  <si>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</si>
  <si>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</si>
  <si>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</si>
  <si>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</si>
  <si>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</si>
  <si>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</si>
  <si>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</si>
  <si>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</si>
  <si>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</si>
  <si>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</si>
  <si>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</si>
  <si>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</si>
  <si>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</si>
  <si>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</si>
  <si>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</si>
  <si>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</si>
  <si>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</si>
  <si>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</si>
  <si>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</si>
  <si>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</si>
  <si>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</si>
  <si>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</si>
  <si>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</si>
  <si>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</si>
  <si>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</si>
  <si>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</si>
  <si>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</si>
  <si>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</si>
  <si>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</si>
  <si>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</si>
  <si>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</si>
  <si>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</si>
  <si>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</si>
  <si>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</si>
  <si>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</si>
  <si>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</si>
  <si>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</si>
  <si>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</si>
  <si>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</si>
  <si>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</si>
  <si>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</si>
  <si>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</si>
  <si>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</si>
  <si>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</si>
  <si>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</si>
  <si>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</si>
  <si>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</si>
  <si>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</si>
  <si>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</si>
  <si>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</si>
  <si>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</si>
  <si>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</si>
  <si>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</si>
  <si>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</si>
  <si>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</si>
  <si>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</si>
  <si>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</si>
  <si>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</si>
  <si>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</si>
  <si>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</si>
  <si>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</si>
  <si>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</si>
  <si>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</si>
  <si>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</si>
  <si>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</si>
  <si>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</si>
  <si>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</si>
  <si>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</si>
  <si>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</si>
  <si>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</si>
  <si>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</si>
  <si>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</si>
  <si>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</si>
  <si>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</si>
  <si>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</si>
  <si>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</si>
  <si>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</si>
  <si>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</si>
  <si>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</si>
  <si>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</si>
  <si>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</si>
  <si>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</si>
  <si>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</si>
  <si>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</si>
  <si>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</si>
  <si>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</si>
  <si>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</si>
  <si>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</si>
  <si>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</si>
  <si>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</si>
  <si>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</si>
  <si>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</si>
  <si>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</si>
  <si>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</si>
  <si>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</si>
  <si>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</si>
  <si>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</si>
  <si>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</si>
  <si>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</si>
  <si>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</si>
  <si>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</si>
  <si>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</si>
  <si>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</si>
  <si>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</si>
  <si>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</si>
  <si>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</si>
  <si>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</si>
  <si>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</si>
  <si>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</si>
  <si>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</si>
  <si>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</si>
  <si>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</si>
  <si>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</si>
  <si>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</si>
  <si>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</si>
  <si>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</si>
  <si>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</si>
  <si>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</si>
  <si>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</si>
  <si>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</si>
  <si>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</si>
  <si>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</si>
  <si>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</si>
  <si>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</si>
  <si>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</si>
  <si>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</si>
  <si>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</si>
  <si>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</si>
  <si>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</si>
  <si>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</si>
  <si>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</si>
  <si>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</si>
  <si>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</si>
  <si>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</si>
  <si>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</si>
  <si>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</si>
  <si>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</si>
  <si>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</si>
  <si>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</si>
  <si>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</si>
  <si>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</si>
  <si>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</si>
  <si>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</si>
  <si>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</si>
  <si>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</si>
  <si>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</si>
  <si>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</si>
  <si>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</si>
  <si>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</si>
  <si>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</si>
  <si>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</si>
  <si>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</si>
  <si>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</si>
  <si>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</si>
  <si>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</si>
  <si>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</si>
  <si>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</si>
  <si>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</si>
  <si>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</si>
  <si>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</si>
  <si>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</si>
  <si>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</si>
  <si>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</si>
  <si>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</si>
  <si>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</si>
  <si>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</si>
  <si>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</si>
  <si>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</si>
  <si>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</si>
  <si>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</si>
  <si>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</si>
  <si>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</si>
  <si>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</si>
  <si>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</si>
  <si>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</si>
  <si>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</si>
  <si>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</si>
  <si>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</si>
  <si>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</si>
  <si>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</si>
  <si>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</si>
  <si>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</si>
  <si>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</si>
  <si>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</si>
  <si>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</si>
  <si>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</si>
  <si>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</si>
  <si>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</si>
  <si>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</si>
  <si>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</si>
  <si>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</si>
  <si>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</si>
  <si>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</si>
  <si>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</si>
  <si>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</si>
  <si>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</si>
  <si>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</si>
  <si>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</si>
  <si>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</si>
  <si>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</si>
  <si>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</si>
  <si>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</si>
  <si>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</si>
  <si>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</si>
  <si>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</si>
  <si>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</si>
  <si>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</si>
  <si>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</si>
  <si>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</si>
  <si>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</si>
  <si>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</si>
  <si>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</si>
  <si>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</si>
  <si>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</si>
  <si>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</si>
  <si>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</si>
  <si>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</si>
  <si>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</si>
  <si>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</si>
  <si>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</si>
  <si>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</si>
  <si>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</si>
  <si>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</si>
  <si>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</si>
  <si>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</si>
  <si>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</si>
  <si>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</si>
  <si>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</si>
  <si>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</si>
  <si>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</si>
  <si>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</si>
  <si>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</si>
  <si>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</si>
  <si>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</si>
  <si>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</si>
  <si>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</si>
  <si>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</si>
  <si>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</si>
  <si>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</si>
  <si>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</si>
  <si>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</si>
  <si>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</si>
  <si>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</si>
  <si>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</si>
  <si>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</si>
  <si>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</si>
  <si>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</si>
  <si>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</si>
  <si>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</si>
  <si>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</si>
  <si>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</si>
  <si>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</si>
  <si>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</si>
  <si>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</si>
  <si>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</si>
  <si>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</si>
  <si>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</si>
  <si>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</si>
  <si>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</si>
  <si>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</si>
  <si>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</si>
  <si>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</si>
  <si>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</si>
  <si>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</si>
  <si>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</si>
  <si>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</si>
  <si>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</si>
  <si>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</si>
  <si>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</si>
  <si>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</si>
  <si>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</si>
  <si>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</si>
  <si>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</si>
  <si>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</si>
  <si>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</si>
  <si>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</si>
  <si>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</si>
  <si>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</si>
  <si>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</si>
  <si>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</si>
  <si>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</si>
  <si>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</si>
  <si>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</si>
  <si>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</si>
  <si>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</si>
  <si>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</si>
  <si>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</si>
  <si>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</si>
  <si>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</si>
  <si>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</si>
  <si>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</si>
  <si>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</si>
  <si>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</si>
  <si>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</si>
  <si>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</si>
  <si>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</si>
  <si>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</si>
  <si>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</si>
  <si>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</si>
  <si>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</si>
  <si>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</si>
  <si>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</si>
  <si>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</si>
  <si>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</si>
  <si>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</si>
  <si>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</si>
  <si>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</si>
  <si>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</si>
  <si>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</si>
  <si>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</si>
  <si>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</si>
  <si>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</si>
  <si>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</si>
  <si>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</si>
  <si>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</si>
  <si>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</si>
  <si>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</si>
  <si>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</si>
  <si>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</si>
  <si>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</si>
  <si>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</si>
  <si>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</si>
  <si>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</si>
  <si>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</si>
  <si>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</si>
  <si>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</si>
  <si>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</si>
  <si>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</si>
  <si>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</si>
  <si>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</si>
  <si>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</si>
  <si>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</si>
  <si>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</si>
  <si>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</si>
  <si>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</si>
  <si>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</si>
  <si>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</si>
  <si>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</si>
  <si>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</si>
  <si>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</si>
  <si>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</si>
  <si>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</si>
  <si>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</si>
  <si>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</si>
  <si>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</si>
  <si>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</si>
  <si>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</si>
  <si>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</si>
  <si>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</si>
  <si>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</si>
  <si>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</si>
  <si>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</si>
  <si>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</si>
  <si>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</si>
  <si>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</si>
  <si>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</si>
  <si>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</si>
  <si>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</si>
  <si>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</si>
  <si>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</si>
  <si>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</si>
  <si>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</si>
  <si>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</si>
  <si>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</si>
  <si>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</si>
  <si>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</si>
  <si>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</si>
  <si>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</si>
  <si>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</si>
  <si>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</si>
  <si>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</si>
  <si>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</si>
  <si>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</si>
  <si>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</si>
  <si>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</si>
  <si>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</si>
  <si>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</si>
  <si>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</si>
  <si>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</si>
  <si>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</si>
  <si>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</si>
  <si>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</si>
  <si>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</si>
  <si>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</si>
  <si>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</si>
  <si>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</si>
  <si>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</si>
  <si>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</si>
  <si>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</si>
  <si>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</si>
  <si>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</si>
  <si>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</si>
  <si>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</si>
  <si>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</si>
  <si>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</si>
  <si>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</si>
  <si>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</si>
  <si>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</si>
  <si>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</si>
  <si>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</si>
  <si>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</si>
  <si>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</si>
  <si>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</si>
  <si>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</si>
  <si>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</si>
  <si>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</si>
  <si>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</si>
  <si>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</si>
  <si>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</si>
  <si>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</si>
  <si>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</si>
  <si>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</si>
  <si>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</si>
  <si>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</si>
  <si>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</si>
  <si>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</si>
  <si>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</si>
  <si>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</si>
  <si>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</si>
  <si>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</si>
  <si>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</si>
  <si>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</si>
  <si>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</si>
  <si>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</si>
  <si>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</si>
  <si>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</si>
  <si>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</si>
  <si>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</si>
  <si>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</si>
  <si>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</si>
  <si>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</si>
  <si>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</si>
  <si>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</si>
  <si>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</si>
  <si>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</si>
  <si>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</si>
  <si>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</si>
  <si>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</si>
  <si>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</si>
  <si>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</si>
  <si>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</si>
  <si>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</si>
  <si>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</si>
  <si>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</si>
  <si>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</si>
  <si>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</si>
  <si>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</si>
  <si>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</si>
  <si>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</si>
  <si>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</si>
  <si>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</si>
  <si>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</si>
  <si>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</si>
  <si>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</si>
  <si>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</si>
  <si>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</si>
  <si>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</si>
  <si>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</si>
  <si>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</si>
  <si>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</si>
  <si>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</si>
  <si>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</si>
  <si>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</si>
  <si>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</si>
  <si>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</si>
  <si>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</si>
  <si>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</si>
  <si>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</si>
  <si>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</si>
  <si>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</si>
  <si>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</si>
  <si>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</si>
  <si>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</si>
  <si>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</si>
  <si>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</si>
  <si>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</si>
  <si>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</si>
  <si>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</si>
  <si>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</si>
  <si>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</si>
  <si>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</si>
  <si>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</si>
  <si>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</si>
  <si>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</si>
  <si>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</si>
  <si>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</si>
  <si>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</si>
  <si>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</si>
  <si>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</si>
  <si>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</si>
  <si>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</si>
  <si>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</si>
  <si>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</si>
  <si>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</si>
  <si>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</si>
  <si>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</si>
  <si>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</si>
  <si>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</si>
  <si>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</si>
  <si>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</si>
  <si>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</si>
  <si>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</si>
  <si>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</si>
  <si>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</si>
  <si>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</si>
  <si>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</si>
  <si>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</si>
  <si>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</si>
  <si>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</si>
  <si>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</si>
  <si>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</si>
  <si>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</si>
  <si>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</si>
  <si>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</si>
  <si>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</si>
  <si>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</si>
  <si>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</si>
  <si>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</si>
  <si>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</si>
  <si>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</si>
  <si>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</si>
  <si>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</si>
  <si>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</si>
  <si>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</si>
  <si>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</si>
  <si>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</si>
  <si>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</si>
  <si>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</si>
  <si>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</si>
  <si>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</si>
  <si>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</si>
  <si>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</si>
  <si>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</si>
  <si>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</si>
  <si>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</si>
  <si>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</si>
  <si>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</si>
  <si>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</si>
  <si>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</si>
  <si>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</si>
  <si>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</si>
  <si>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</si>
  <si>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</si>
  <si>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</si>
  <si>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</si>
  <si>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</si>
  <si>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</si>
  <si>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</si>
  <si>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</si>
  <si>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</si>
  <si>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</si>
  <si>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</si>
  <si>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</si>
  <si>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</si>
  <si>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</si>
  <si>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</si>
  <si>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</si>
  <si>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</si>
  <si>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</si>
  <si>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</si>
  <si>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</si>
  <si>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</si>
  <si>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</si>
  <si>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</si>
  <si>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</si>
  <si>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</si>
  <si>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</si>
  <si>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</si>
  <si>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</si>
  <si>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</si>
  <si>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</si>
  <si>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</si>
  <si>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</si>
  <si>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</si>
  <si>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</si>
  <si>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</si>
  <si>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</si>
  <si>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</si>
  <si>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</si>
  <si>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</si>
  <si>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</si>
  <si>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</si>
  <si>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</si>
  <si>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</si>
  <si>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</si>
  <si>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</si>
  <si>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</si>
  <si>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</si>
  <si>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</si>
  <si>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</si>
  <si>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</si>
  <si>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</si>
  <si>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</si>
  <si>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</si>
  <si>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</si>
  <si>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</si>
  <si>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</si>
  <si>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</si>
  <si>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</si>
  <si>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</si>
  <si>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</si>
  <si>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</si>
  <si>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</si>
  <si>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</si>
  <si>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</si>
  <si>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</si>
  <si>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</si>
  <si>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</si>
  <si>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</si>
  <si>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</si>
  <si>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</si>
  <si>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</si>
  <si>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</si>
  <si>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</si>
  <si>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</si>
  <si>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</si>
  <si>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</si>
  <si>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</si>
  <si>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</si>
  <si>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</si>
  <si>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</si>
  <si>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</si>
  <si>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</si>
  <si>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</si>
  <si>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</si>
  <si>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</si>
  <si>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</si>
  <si>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</si>
  <si>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</si>
  <si>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</si>
  <si>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</si>
  <si>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</si>
  <si>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</si>
  <si>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</si>
  <si>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</si>
  <si>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</si>
  <si>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</si>
  <si>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</si>
  <si>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</si>
  <si>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</si>
  <si>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</si>
  <si>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</si>
  <si>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</si>
  <si>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</si>
  <si>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</si>
  <si>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</si>
  <si>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</si>
  <si>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</si>
  <si>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</si>
  <si>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</si>
  <si>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</si>
  <si>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</si>
  <si>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</si>
  <si>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</si>
  <si>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</si>
  <si>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</si>
  <si>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</si>
  <si>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</si>
  <si>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</si>
  <si>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</si>
  <si>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</si>
  <si>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</si>
  <si>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</si>
  <si>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</si>
  <si>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</si>
  <si>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</si>
  <si>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</si>
  <si>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</si>
  <si>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</si>
  <si>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</si>
  <si>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</si>
  <si>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</si>
  <si>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</si>
  <si>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</si>
  <si>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</si>
  <si>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</si>
  <si>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</si>
  <si>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</si>
  <si>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</si>
  <si>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</si>
  <si>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</si>
  <si>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</si>
  <si>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</si>
  <si>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</si>
  <si>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</si>
  <si>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</si>
  <si>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</si>
  <si>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</si>
  <si>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</si>
  <si>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</si>
  <si>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</si>
  <si>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</si>
  <si>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</si>
  <si>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</si>
  <si>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</si>
  <si>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</si>
  <si>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</si>
  <si>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</si>
  <si>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</si>
  <si>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</si>
  <si>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</si>
  <si>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</si>
  <si>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</si>
  <si>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</si>
  <si>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</si>
  <si>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</si>
  <si>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</si>
  <si>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</si>
  <si>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</si>
  <si>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</si>
  <si>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</si>
  <si>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</si>
  <si>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</si>
  <si>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</si>
  <si>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</si>
  <si>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</si>
  <si>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</si>
  <si>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</si>
  <si>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</si>
  <si>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</si>
  <si>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</si>
  <si>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</si>
  <si>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</si>
  <si>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</si>
  <si>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</si>
  <si>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</si>
  <si>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</si>
  <si>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</si>
  <si>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</si>
  <si>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</si>
  <si>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</si>
  <si>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</si>
  <si>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</si>
  <si>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</si>
  <si>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</si>
  <si>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</si>
  <si>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</si>
  <si>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</si>
  <si>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</si>
  <si>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</si>
  <si>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</si>
  <si>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</si>
  <si>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</si>
  <si>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</si>
  <si>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</si>
  <si>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</si>
  <si>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</si>
  <si>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</si>
  <si>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</si>
  <si>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</si>
  <si>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</si>
  <si>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</si>
  <si>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</si>
  <si>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</si>
  <si>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</si>
  <si>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</si>
  <si>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</si>
  <si>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</si>
  <si>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</si>
  <si>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</si>
  <si>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</si>
  <si>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</si>
  <si>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</si>
  <si>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</si>
  <si>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</si>
  <si>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</si>
  <si>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</si>
  <si>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</si>
  <si>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</si>
  <si>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</si>
  <si>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</si>
  <si>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</si>
  <si>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</si>
  <si>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</si>
  <si>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</si>
  <si>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</si>
  <si>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</si>
  <si>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</si>
  <si>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</si>
  <si>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</si>
  <si>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</si>
  <si>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</si>
  <si>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</si>
  <si>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</si>
  <si>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</si>
  <si>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</si>
  <si>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</si>
  <si>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</si>
  <si>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</si>
  <si>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</si>
  <si>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</si>
  <si>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</si>
  <si>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</si>
  <si>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</si>
  <si>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</si>
  <si>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</si>
  <si>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</si>
  <si>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</si>
  <si>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</si>
  <si>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</si>
  <si>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</si>
  <si>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</si>
  <si>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</si>
  <si>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</si>
  <si>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</si>
  <si>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</si>
  <si>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</si>
  <si>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</si>
  <si>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</si>
  <si>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</si>
  <si>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</si>
  <si>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</si>
  <si>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</si>
  <si>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</si>
  <si>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</si>
  <si>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</si>
  <si>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</si>
  <si>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</si>
  <si>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</si>
  <si>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</si>
  <si>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</si>
  <si>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</si>
  <si>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</si>
  <si>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</si>
  <si>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</si>
  <si>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</si>
  <si>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</si>
  <si>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</si>
  <si>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</si>
  <si>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</si>
  <si>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</si>
  <si>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</si>
  <si>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</si>
  <si>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</si>
  <si>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</si>
  <si>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</si>
  <si>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</si>
  <si>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</si>
  <si>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</si>
  <si>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</si>
  <si>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</si>
  <si>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</si>
  <si>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</si>
  <si>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</si>
  <si>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</si>
  <si>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</si>
  <si>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</si>
  <si>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</si>
  <si>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</si>
  <si>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</si>
  <si>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</si>
  <si>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</si>
  <si>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</si>
  <si>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</si>
  <si>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</si>
  <si>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</si>
  <si>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</si>
  <si>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</si>
  <si>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</si>
  <si>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</si>
  <si>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</si>
  <si>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</si>
  <si>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</si>
  <si>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</si>
  <si>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</si>
  <si>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</si>
  <si>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</si>
  <si>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</si>
  <si>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</si>
  <si>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</si>
  <si>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</si>
  <si>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</si>
  <si>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</si>
  <si>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</si>
  <si>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</si>
  <si>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</si>
  <si>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</si>
  <si>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</si>
  <si>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</si>
  <si>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</si>
  <si>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</si>
  <si>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</si>
  <si>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</si>
  <si>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</si>
  <si>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</si>
  <si>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</si>
  <si>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</si>
  <si>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</si>
  <si>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</si>
  <si>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</si>
  <si>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</si>
  <si>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</si>
  <si>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</si>
  <si>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</si>
  <si>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</si>
  <si>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</si>
  <si>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</si>
  <si>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</si>
  <si>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</si>
  <si>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</si>
  <si>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</si>
  <si>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</si>
  <si>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</si>
  <si>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</si>
  <si>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</si>
  <si>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</si>
  <si>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</si>
  <si>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</si>
  <si>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</si>
  <si>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</si>
  <si>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</si>
  <si>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</si>
  <si>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</si>
  <si>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</si>
  <si>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</si>
  <si>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</si>
  <si>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</si>
  <si>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</si>
  <si>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</si>
  <si>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</si>
  <si>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</si>
  <si>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</si>
  <si>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</si>
  <si>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</si>
  <si>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</si>
  <si>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</si>
  <si>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</si>
  <si>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</si>
  <si>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</si>
  <si>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</si>
  <si>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</si>
  <si>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</si>
  <si>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</si>
  <si>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</si>
  <si>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</si>
  <si>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</si>
  <si>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</si>
  <si>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</si>
  <si>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</si>
  <si>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</si>
  <si>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</si>
  <si>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</si>
  <si>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</si>
  <si>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</si>
  <si>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</si>
  <si>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</si>
  <si>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</si>
  <si>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</si>
  <si>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</si>
  <si>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</si>
  <si>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</si>
  <si>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</si>
  <si>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</si>
  <si>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</si>
  <si>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</si>
  <si>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</si>
  <si>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</si>
  <si>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</si>
  <si>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</si>
  <si>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</si>
  <si>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</si>
  <si>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</si>
  <si>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</si>
  <si>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</si>
  <si>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</si>
  <si>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</si>
  <si>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</si>
  <si>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</si>
  <si>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</si>
  <si>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</si>
  <si>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</si>
  <si>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</si>
  <si>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</si>
  <si>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</si>
  <si>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</si>
  <si>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</si>
  <si>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</si>
  <si>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</si>
  <si>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</si>
  <si>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</si>
  <si>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</si>
  <si>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</si>
  <si>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</si>
  <si>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</si>
  <si>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</si>
  <si>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</si>
  <si>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</si>
  <si>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</si>
  <si>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</si>
  <si>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</si>
  <si>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</si>
  <si>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</si>
  <si>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</si>
  <si>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</si>
  <si>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</si>
  <si>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</si>
  <si>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</si>
  <si>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</si>
  <si>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</si>
  <si>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</si>
  <si>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</si>
  <si>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</si>
  <si>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</si>
  <si>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</si>
  <si>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</si>
  <si>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</si>
  <si>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</si>
  <si>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</si>
  <si>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</si>
  <si>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</si>
  <si>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</si>
  <si>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</si>
  <si>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</si>
  <si>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</si>
  <si>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</si>
  <si>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</si>
  <si>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</si>
  <si>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</si>
  <si>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</si>
  <si>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</si>
  <si>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</si>
  <si>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</si>
  <si>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</si>
  <si>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</si>
  <si>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</si>
  <si>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</si>
  <si>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</si>
  <si>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</si>
  <si>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</si>
  <si>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</si>
  <si>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</si>
  <si>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</si>
  <si>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</si>
  <si>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</si>
  <si>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</si>
  <si>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</si>
  <si>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</si>
  <si>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</si>
  <si>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</si>
  <si>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</si>
  <si>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</si>
  <si>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</si>
  <si>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</si>
  <si>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</si>
  <si>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</si>
  <si>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</si>
  <si>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</si>
  <si>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</si>
  <si>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</si>
  <si>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</si>
  <si>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</si>
  <si>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</si>
  <si>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</si>
  <si>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</si>
  <si>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</si>
  <si>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</si>
  <si>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</si>
  <si>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</si>
  <si>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</si>
  <si>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</si>
  <si>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</si>
  <si>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</si>
  <si>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</si>
  <si>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</si>
  <si>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</si>
  <si>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</si>
  <si>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</si>
  <si>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</si>
  <si>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</si>
  <si>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</si>
  <si>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</si>
  <si>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</si>
  <si>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</si>
  <si>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</si>
  <si>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</si>
  <si>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</si>
  <si>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</si>
  <si>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</si>
  <si>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</si>
  <si>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</si>
  <si>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</si>
  <si>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</si>
  <si>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</si>
  <si>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</si>
  <si>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</si>
  <si>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</si>
  <si>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</si>
  <si>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</si>
  <si>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</si>
  <si>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</si>
  <si>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</si>
  <si>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</si>
  <si>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</si>
  <si>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</si>
  <si>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</si>
  <si>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</si>
  <si>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</si>
  <si>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</si>
  <si>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</si>
  <si>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</si>
  <si>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</si>
  <si>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</si>
  <si>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</si>
  <si>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</si>
  <si>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</si>
  <si>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</si>
  <si>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</si>
  <si>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</si>
  <si>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</si>
  <si>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</si>
  <si>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</si>
  <si>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</si>
  <si>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</si>
  <si>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</si>
  <si>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</si>
  <si>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</si>
  <si>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</si>
  <si>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</si>
  <si>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</si>
  <si>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</si>
  <si>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</si>
  <si>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</si>
  <si>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</si>
  <si>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</si>
  <si>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</si>
  <si>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</si>
  <si>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</si>
  <si>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</si>
  <si>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</si>
  <si>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</si>
  <si>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</si>
  <si>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</si>
  <si>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</si>
  <si>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</si>
  <si>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</si>
  <si>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</si>
  <si>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</si>
  <si>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</si>
  <si>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</si>
  <si>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</si>
  <si>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</si>
  <si>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</si>
  <si>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</si>
  <si>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</si>
  <si>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</si>
  <si>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</si>
  <si>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</si>
  <si>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</si>
  <si>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</si>
  <si>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</si>
  <si>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</si>
  <si>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</si>
  <si>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</si>
  <si>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</si>
  <si>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</si>
  <si>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</si>
  <si>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</si>
  <si>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</si>
  <si>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</si>
  <si>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</si>
  <si>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</si>
  <si>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</si>
  <si>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</si>
  <si>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</si>
  <si>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</si>
  <si>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</si>
  <si>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</si>
  <si>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</si>
  <si>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</si>
  <si>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</si>
  <si>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</si>
  <si>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</si>
  <si>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</si>
  <si>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</si>
  <si>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</si>
  <si>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</si>
  <si>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</si>
  <si>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</si>
  <si>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</si>
  <si>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</si>
  <si>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</si>
  <si>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</si>
  <si>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</si>
  <si>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</si>
  <si>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</si>
  <si>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</si>
  <si>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</si>
  <si>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</si>
  <si>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</si>
  <si>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</si>
  <si>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</si>
  <si>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</si>
  <si>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</si>
  <si>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</si>
  <si>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</si>
  <si>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</si>
  <si>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</si>
  <si>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</si>
  <si>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</si>
  <si>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</si>
  <si>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</si>
  <si>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</si>
  <si>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</si>
  <si>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</si>
  <si>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</si>
  <si>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</si>
  <si>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</si>
  <si>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</si>
  <si>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</si>
  <si>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</si>
  <si>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</si>
  <si>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</si>
  <si>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</si>
  <si>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</si>
  <si>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</si>
  <si>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</si>
  <si>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</si>
  <si>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</si>
  <si>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</si>
  <si>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</si>
  <si>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</si>
  <si>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</si>
  <si>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</si>
  <si>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</si>
  <si>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</si>
  <si>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</si>
  <si>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</si>
  <si>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</si>
  <si>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</si>
  <si>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</si>
  <si>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</si>
  <si>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</si>
  <si>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</si>
  <si>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</si>
  <si>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</si>
  <si>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</si>
  <si>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</si>
  <si>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</si>
  <si>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</si>
  <si>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</si>
  <si>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</si>
  <si>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</si>
  <si>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</si>
  <si>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</si>
  <si>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</si>
  <si>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</si>
  <si>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</si>
  <si>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</si>
  <si>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</si>
  <si>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</si>
  <si>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</si>
  <si>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</si>
  <si>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</si>
  <si>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</si>
  <si>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</si>
  <si>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</si>
  <si>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</si>
  <si>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</si>
  <si>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</si>
  <si>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</si>
  <si>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</si>
  <si>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</si>
  <si>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</si>
  <si>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</si>
  <si>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</si>
  <si>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</si>
  <si>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</si>
  <si>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</si>
  <si>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</si>
  <si>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</si>
  <si>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</si>
  <si>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</si>
  <si>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</si>
  <si>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</si>
  <si>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</si>
  <si>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</si>
  <si>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</si>
  <si>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</si>
  <si>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</si>
  <si>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</si>
  <si>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</si>
  <si>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</si>
  <si>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</si>
  <si>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</si>
  <si>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</si>
  <si>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</si>
  <si>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</si>
  <si>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</si>
  <si>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</si>
  <si>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</si>
  <si>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</si>
  <si>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</si>
  <si>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</si>
  <si>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</si>
  <si>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</si>
  <si>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</si>
  <si>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</si>
  <si>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</si>
  <si>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</si>
  <si>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</si>
  <si>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</si>
  <si>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</si>
  <si>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</si>
  <si>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</si>
  <si>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</si>
  <si>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</si>
  <si>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</si>
  <si>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</si>
  <si>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</si>
  <si>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</si>
  <si>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</si>
  <si>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</si>
  <si>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</si>
  <si>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</si>
  <si>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</si>
  <si>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</si>
  <si>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</si>
  <si>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</si>
  <si>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</si>
  <si>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</si>
  <si>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</si>
  <si>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</si>
  <si>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</si>
  <si>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</si>
  <si>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</si>
  <si>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</si>
  <si>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</si>
  <si>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</si>
  <si>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</si>
  <si>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</si>
  <si>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</si>
  <si>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</si>
  <si>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</si>
  <si>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</si>
  <si>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</si>
  <si>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</si>
  <si>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</si>
  <si>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</si>
  <si>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</si>
  <si>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</si>
  <si>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</si>
  <si>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</si>
  <si>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</si>
  <si>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</si>
  <si>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</si>
  <si>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</si>
  <si>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</si>
  <si>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</si>
  <si>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</si>
  <si>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</si>
  <si>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</si>
  <si>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</si>
  <si>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</si>
  <si>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</si>
  <si>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</si>
  <si>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</si>
  <si>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</si>
  <si>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</si>
  <si>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</si>
  <si>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</si>
  <si>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</si>
  <si>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</si>
  <si>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</si>
  <si>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</si>
  <si>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</si>
  <si>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</si>
  <si>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</si>
  <si>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</si>
  <si>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</si>
  <si>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</si>
  <si>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</si>
  <si>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</si>
  <si>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</si>
  <si>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</si>
  <si>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</si>
  <si>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</si>
  <si>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</si>
  <si>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</si>
  <si>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</si>
  <si>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</si>
  <si>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</si>
  <si>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</si>
  <si>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</si>
  <si>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</si>
  <si>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</si>
  <si>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</si>
  <si>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</si>
  <si>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</si>
  <si>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</si>
  <si>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</si>
  <si>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</si>
  <si>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</si>
  <si>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</si>
  <si>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</si>
  <si>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</si>
  <si>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</si>
  <si>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</si>
  <si>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</si>
  <si>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</si>
  <si>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</si>
  <si>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</si>
  <si>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</si>
  <si>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</si>
  <si>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</si>
  <si>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</si>
  <si>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</si>
  <si>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</si>
  <si>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</si>
  <si>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</si>
  <si>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</si>
  <si>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</si>
  <si>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</si>
  <si>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</si>
  <si>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</si>
  <si>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</si>
  <si>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</si>
  <si>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</si>
  <si>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</si>
  <si>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</si>
  <si>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</si>
  <si>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</si>
  <si>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</si>
  <si>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</si>
  <si>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</si>
  <si>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</si>
  <si>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</si>
  <si>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</si>
  <si>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</si>
  <si>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</si>
  <si>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</si>
  <si>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</si>
  <si>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</si>
  <si>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</si>
  <si>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</si>
  <si>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</si>
  <si>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</si>
  <si>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</si>
  <si>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</si>
  <si>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</si>
  <si>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</si>
  <si>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</si>
  <si>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</si>
  <si>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</si>
  <si>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</si>
  <si>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</si>
  <si>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</si>
  <si>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</si>
  <si>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</si>
  <si>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</si>
  <si>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</si>
  <si>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</si>
  <si>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</si>
  <si>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</si>
  <si>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</si>
  <si>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</si>
  <si>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</si>
  <si>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</si>
  <si>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</si>
  <si>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</si>
  <si>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</si>
  <si>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</si>
  <si>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</si>
  <si>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</si>
  <si>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</si>
  <si>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</si>
  <si>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</si>
  <si>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</si>
  <si>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</si>
  <si>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</si>
  <si>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</si>
  <si>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</si>
  <si>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</si>
  <si>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</si>
  <si>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</si>
  <si>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</si>
  <si>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</si>
  <si>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</si>
  <si>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</si>
  <si>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</si>
  <si>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</si>
  <si>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</si>
  <si>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</si>
  <si>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</si>
  <si>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</si>
  <si>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</si>
  <si>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</si>
  <si>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</si>
  <si>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</si>
  <si>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</si>
  <si>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</si>
  <si>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</si>
  <si>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</si>
  <si>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</si>
  <si>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</si>
  <si>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</si>
  <si>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</si>
  <si>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</si>
  <si>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</si>
  <si>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</si>
  <si>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</si>
  <si>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</si>
  <si>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</si>
  <si>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</si>
  <si>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</si>
  <si>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</si>
  <si>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</si>
  <si>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</si>
  <si>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</si>
  <si>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</si>
  <si>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</si>
  <si>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</si>
  <si>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</si>
  <si>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</si>
  <si>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</si>
  <si>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</si>
  <si>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</si>
  <si>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</si>
  <si>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</si>
  <si>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</si>
  <si>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</si>
  <si>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</si>
  <si>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</si>
  <si>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</si>
  <si>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</si>
  <si>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</si>
  <si>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</si>
  <si>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</si>
  <si>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</si>
  <si>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</si>
  <si>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</si>
  <si>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</si>
  <si>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</si>
  <si>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</si>
  <si>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</si>
  <si>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</si>
  <si>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</si>
  <si>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</si>
  <si>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</si>
  <si>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</si>
  <si>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</si>
  <si>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</si>
  <si>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</si>
  <si>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</si>
  <si>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</si>
  <si>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</si>
  <si>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</si>
  <si>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</si>
  <si>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</si>
  <si>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</si>
  <si>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</si>
  <si>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</si>
  <si>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</si>
  <si>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</si>
  <si>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</si>
  <si>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</si>
  <si>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</si>
  <si>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</si>
  <si>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</si>
  <si>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</si>
  <si>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</si>
  <si>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</si>
  <si>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</si>
  <si>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</si>
  <si>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</si>
  <si>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</si>
  <si>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</si>
  <si>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</si>
  <si>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</si>
  <si>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</si>
  <si>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</si>
  <si>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</si>
  <si>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</si>
  <si>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</si>
  <si>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</si>
  <si>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</si>
  <si>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</si>
  <si>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</si>
  <si>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</si>
  <si>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</si>
  <si>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</si>
  <si>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</si>
  <si>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</si>
  <si>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</si>
  <si>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</si>
  <si>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</si>
  <si>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</si>
  <si>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</si>
  <si>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</si>
  <si>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</si>
  <si>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</si>
  <si>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</si>
  <si>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</si>
  <si>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</si>
  <si>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</si>
  <si>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</si>
  <si>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</si>
  <si>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</si>
  <si>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</si>
  <si>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</si>
  <si>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</si>
  <si>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</si>
  <si>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</si>
  <si>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</si>
  <si>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</si>
  <si>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</si>
  <si>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</si>
  <si>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</si>
  <si>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</si>
  <si>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</si>
  <si>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</si>
  <si>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</si>
  <si>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</si>
  <si>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</si>
  <si>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</si>
  <si>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</si>
  <si>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</si>
  <si>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</si>
  <si>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</si>
  <si>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</si>
  <si>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</si>
  <si>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</si>
  <si>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</si>
  <si>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</si>
  <si>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</si>
  <si>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</si>
  <si>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</si>
  <si>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</si>
  <si>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</si>
  <si>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</si>
  <si>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</si>
  <si>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</si>
  <si>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</si>
  <si>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</si>
  <si>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</si>
  <si>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</si>
  <si>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</si>
  <si>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</si>
  <si>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</si>
  <si>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</si>
  <si>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</si>
  <si>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</si>
  <si>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</si>
  <si>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</si>
  <si>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</si>
  <si>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</si>
  <si>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</si>
  <si>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</si>
  <si>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</si>
  <si>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</si>
  <si>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</si>
  <si>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</si>
  <si>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</si>
  <si>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</si>
  <si>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</si>
  <si>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</si>
  <si>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</si>
  <si>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</si>
  <si>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</si>
  <si>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</si>
  <si>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</si>
  <si>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</si>
  <si>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</si>
  <si>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</si>
  <si>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</si>
  <si>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</si>
  <si>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</si>
  <si>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</si>
  <si>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</si>
  <si>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</si>
  <si>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</si>
  <si>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</si>
  <si>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</si>
  <si>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</si>
  <si>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</si>
  <si>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</si>
  <si>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</si>
  <si>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</si>
  <si>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</si>
  <si>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</si>
  <si>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</si>
  <si>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</si>
  <si>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</si>
  <si>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</si>
  <si>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</si>
  <si>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</si>
  <si>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</si>
  <si>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</si>
  <si>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</si>
  <si>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</si>
  <si>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</si>
  <si>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</si>
  <si>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</si>
  <si>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</si>
  <si>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</si>
  <si>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</si>
  <si>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</si>
  <si>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</si>
  <si>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</si>
  <si>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</si>
  <si>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</si>
  <si>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</si>
  <si>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</si>
  <si>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</si>
  <si>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</si>
  <si>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</si>
  <si>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</si>
  <si>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</si>
  <si>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</si>
  <si>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</si>
  <si>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</si>
  <si>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</si>
  <si>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</si>
  <si>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</si>
  <si>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</si>
  <si>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</si>
  <si>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</si>
  <si>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</si>
  <si>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</si>
  <si>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</si>
  <si>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</si>
  <si>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</si>
  <si>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</si>
  <si>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</si>
  <si>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</si>
  <si>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</si>
  <si>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</si>
  <si>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</si>
  <si>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</si>
  <si>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</si>
  <si>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</si>
  <si>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</si>
  <si>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</si>
  <si>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</si>
  <si>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</si>
  <si>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</si>
  <si>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</si>
  <si>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</si>
  <si>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</si>
  <si>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</si>
  <si>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</si>
  <si>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</si>
  <si>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</si>
  <si>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</si>
  <si>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</si>
  <si>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</si>
  <si>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</si>
  <si>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</si>
  <si>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</si>
  <si>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</si>
  <si>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</si>
  <si>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</si>
  <si>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</si>
  <si>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</si>
  <si>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</si>
  <si>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</si>
  <si>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</si>
  <si>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</si>
  <si>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</si>
  <si>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</si>
  <si>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</si>
  <si>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</si>
  <si>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</si>
  <si>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</si>
  <si>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</si>
  <si>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</si>
  <si>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</si>
  <si>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</si>
  <si>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</si>
  <si>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</si>
  <si>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</si>
  <si>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</si>
  <si>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</si>
  <si>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</si>
  <si>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</si>
  <si>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</si>
  <si>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</si>
  <si>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</si>
  <si>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</si>
  <si>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</si>
  <si>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</si>
  <si>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</si>
  <si>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</si>
  <si>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</si>
  <si>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</si>
  <si>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</si>
  <si>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</si>
  <si>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</si>
  <si>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</si>
  <si>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</si>
  <si>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</si>
  <si>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</si>
  <si>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</si>
  <si>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</si>
  <si>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</si>
  <si>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</si>
  <si>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</si>
  <si>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</si>
  <si>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</si>
  <si>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</si>
  <si>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</si>
  <si>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</si>
  <si>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</si>
  <si>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</si>
  <si>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</si>
  <si>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</si>
  <si>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</si>
  <si>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</si>
  <si>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</si>
  <si>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</si>
  <si>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</si>
  <si>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</si>
  <si>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</si>
  <si>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</si>
  <si>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</si>
  <si>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</si>
  <si>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</si>
  <si>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</si>
  <si>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</si>
  <si>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</si>
  <si>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</si>
  <si>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</si>
  <si>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</si>
  <si>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</si>
  <si>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</si>
  <si>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</si>
  <si>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</si>
  <si>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</si>
  <si>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</si>
  <si>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</si>
  <si>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</si>
  <si>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</si>
  <si>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</si>
  <si>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</si>
  <si>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</si>
  <si>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</si>
  <si>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</si>
  <si>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</si>
  <si>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</si>
  <si>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</si>
  <si>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</si>
  <si>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</si>
  <si>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</si>
  <si>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</si>
  <si>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</si>
  <si>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</si>
  <si>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</si>
  <si>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</si>
  <si>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</si>
  <si>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</si>
  <si>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</si>
  <si>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</si>
  <si>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</si>
  <si>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</si>
  <si>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</si>
  <si>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</si>
  <si>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</si>
  <si>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</si>
  <si>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</si>
  <si>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</si>
  <si>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</si>
  <si>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</si>
  <si>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</si>
  <si>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</si>
  <si>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</si>
  <si>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</si>
  <si>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</si>
  <si>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</si>
  <si>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</si>
  <si>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</si>
  <si>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</si>
  <si>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</si>
  <si>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</si>
  <si>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</si>
  <si>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</si>
  <si>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</si>
  <si>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</si>
  <si>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</si>
  <si>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</si>
  <si>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</si>
  <si>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</si>
  <si>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</si>
  <si>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</si>
  <si>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</si>
  <si>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</si>
  <si>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</si>
  <si>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</si>
  <si>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</si>
  <si>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</si>
  <si>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</si>
  <si>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</si>
  <si>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</si>
  <si>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</si>
  <si>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</si>
  <si>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</si>
  <si>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</si>
  <si>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</si>
  <si>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</si>
  <si>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</si>
  <si>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</si>
  <si>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</si>
  <si>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</si>
  <si>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</si>
  <si>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</si>
  <si>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</si>
  <si>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</si>
  <si>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</si>
  <si>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</si>
  <si>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</si>
  <si>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</si>
  <si>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</si>
  <si>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</si>
  <si>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</si>
  <si>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</si>
  <si>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</si>
  <si>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</si>
  <si>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</si>
  <si>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</si>
  <si>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</si>
  <si>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</si>
  <si>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</si>
  <si>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</si>
  <si>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</si>
  <si>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</si>
  <si>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</si>
  <si>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</si>
  <si>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</si>
  <si>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</si>
  <si>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</si>
  <si>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</si>
  <si>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</si>
  <si>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</si>
  <si>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</si>
  <si>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</si>
  <si>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</si>
  <si>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</si>
  <si>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</si>
  <si>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</si>
  <si>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</si>
  <si>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</si>
  <si>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</si>
  <si>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</si>
  <si>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</si>
  <si>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</si>
  <si>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</si>
  <si>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</si>
  <si>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</si>
  <si>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</si>
  <si>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</si>
  <si>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</si>
  <si>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</si>
  <si>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</si>
  <si>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</si>
  <si>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</si>
  <si>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</si>
  <si>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</si>
  <si>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</si>
  <si>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</si>
  <si>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</si>
  <si>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</si>
  <si>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</si>
  <si>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</si>
  <si>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</si>
  <si>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</si>
  <si>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</si>
  <si>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</si>
  <si>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</si>
  <si>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</si>
  <si>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</si>
  <si>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</si>
  <si>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</si>
  <si>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</si>
  <si>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</si>
  <si>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</si>
  <si>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</si>
  <si>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</si>
  <si>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</si>
  <si>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</si>
  <si>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</si>
  <si>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</si>
  <si>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</si>
  <si>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</si>
  <si>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</si>
  <si>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</si>
  <si>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</si>
  <si>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</si>
  <si>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</si>
  <si>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</si>
  <si>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</si>
  <si>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</si>
  <si>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</si>
  <si>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</si>
  <si>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</si>
  <si>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</si>
  <si>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</si>
  <si>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</si>
  <si>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</si>
  <si>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</si>
  <si>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</si>
  <si>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</si>
  <si>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</si>
  <si>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</si>
  <si>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</si>
  <si>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</si>
  <si>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</si>
  <si>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</si>
  <si>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</si>
  <si>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</si>
  <si>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</si>
  <si>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</si>
  <si>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</si>
  <si>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</si>
  <si>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</si>
  <si>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</si>
  <si>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</si>
  <si>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</si>
  <si>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</si>
  <si>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</si>
  <si>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</si>
  <si>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</si>
  <si>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</si>
  <si>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</si>
  <si>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</si>
  <si>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</si>
  <si>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</si>
  <si>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</si>
  <si>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</si>
  <si>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</si>
  <si>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</si>
  <si>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</si>
  <si>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</si>
  <si>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</si>
  <si>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</si>
  <si>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</si>
  <si>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</si>
  <si>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</si>
  <si>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</si>
  <si>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</si>
  <si>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</si>
  <si>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</si>
  <si>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</si>
  <si>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</si>
  <si>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</si>
  <si>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</si>
  <si>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</si>
  <si>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</si>
  <si>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</si>
  <si>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</si>
  <si>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</si>
  <si>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</si>
  <si>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</si>
  <si>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</si>
  <si>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</si>
  <si>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</si>
  <si>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</si>
  <si>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</si>
  <si>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</si>
  <si>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</si>
  <si>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</si>
  <si>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</si>
  <si>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</si>
  <si>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</si>
  <si>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</si>
  <si>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</si>
  <si>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</si>
  <si>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</si>
  <si>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</si>
  <si>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</si>
  <si>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</si>
  <si>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</si>
  <si>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</si>
  <si>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</si>
  <si>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</si>
  <si>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</si>
  <si>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</si>
  <si>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</si>
  <si>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</si>
  <si>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</si>
  <si>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</si>
  <si>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</si>
  <si>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</si>
  <si>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</si>
  <si>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</si>
  <si>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</si>
  <si>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</si>
  <si>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</si>
  <si>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</si>
  <si>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</si>
  <si>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</si>
  <si>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</si>
  <si>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</si>
  <si>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</si>
  <si>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</si>
  <si>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</si>
  <si>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</si>
  <si>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</si>
  <si>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</si>
  <si>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</si>
  <si>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</si>
  <si>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</si>
  <si>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</si>
  <si>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</si>
  <si>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</si>
  <si>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</si>
  <si>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</si>
  <si>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</si>
  <si>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</si>
  <si>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</si>
  <si>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</si>
  <si>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</si>
  <si>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</si>
  <si>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</si>
  <si>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</si>
  <si>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</si>
  <si>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</si>
  <si>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</si>
  <si>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</si>
  <si>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</si>
  <si>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</si>
  <si>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</si>
  <si>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</si>
  <si>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</si>
  <si>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</si>
  <si>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</si>
  <si>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</si>
  <si>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</si>
  <si>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</si>
  <si>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</si>
  <si>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</si>
  <si>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</si>
  <si>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</si>
  <si>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</si>
  <si>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</si>
  <si>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</si>
  <si>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</si>
  <si>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</si>
  <si>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</si>
  <si>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</si>
  <si>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</si>
  <si>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</si>
  <si>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</si>
  <si>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</si>
  <si>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</si>
  <si>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</si>
  <si>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</si>
  <si>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</si>
  <si>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</si>
  <si>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</si>
  <si>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</si>
  <si>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</si>
  <si>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</si>
  <si>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</si>
  <si>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</si>
  <si>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</si>
  <si>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</si>
  <si>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</si>
  <si>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</si>
  <si>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</si>
  <si>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</si>
  <si>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</si>
  <si>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</si>
  <si>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</si>
  <si>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</si>
  <si>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</si>
  <si>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</si>
  <si>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</si>
  <si>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</si>
  <si>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</si>
  <si>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</si>
  <si>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</si>
  <si>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</si>
  <si>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</si>
  <si>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</si>
  <si>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</si>
  <si>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</si>
  <si>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</si>
  <si>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</si>
  <si>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</si>
  <si>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</si>
  <si>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</si>
  <si>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</si>
  <si>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</si>
  <si>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</si>
  <si>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</si>
  <si>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</si>
  <si>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</si>
  <si>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</si>
  <si>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</si>
  <si>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</si>
  <si>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</si>
  <si>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</si>
  <si>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</si>
  <si>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</si>
  <si>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</si>
  <si>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</si>
  <si>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</si>
  <si>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</si>
  <si>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</si>
  <si>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</si>
  <si>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</si>
  <si>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</si>
  <si>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</si>
  <si>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</si>
  <si>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</si>
  <si>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</si>
  <si>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</si>
  <si>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</si>
  <si>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</si>
  <si>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</si>
  <si>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</si>
  <si>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</si>
  <si>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</si>
  <si>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</si>
  <si>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</si>
  <si>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</si>
  <si>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</si>
  <si>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</si>
  <si>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</si>
  <si>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</si>
  <si>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</si>
  <si>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</si>
  <si>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</si>
  <si>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</si>
  <si>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</si>
  <si>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</si>
  <si>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</si>
  <si>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</si>
  <si>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</si>
  <si>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</si>
  <si>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</si>
  <si>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</si>
  <si>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</si>
  <si>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</si>
  <si>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</si>
  <si>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</si>
  <si>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</si>
  <si>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</si>
  <si>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</si>
  <si>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</si>
  <si>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</si>
  <si>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</si>
  <si>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</si>
  <si>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</si>
  <si>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</si>
  <si>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</si>
  <si>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</si>
  <si>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</si>
  <si>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</si>
  <si>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</si>
  <si>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</si>
  <si>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</si>
  <si>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</si>
  <si>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</si>
  <si>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</si>
  <si>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</si>
  <si>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</si>
  <si>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</si>
  <si>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</si>
  <si>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</si>
  <si>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</si>
  <si>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</si>
  <si>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</si>
  <si>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</si>
  <si>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</si>
  <si>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</si>
  <si>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</si>
  <si>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</si>
  <si>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</si>
  <si>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</si>
  <si>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</si>
  <si>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</si>
  <si>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</si>
  <si>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</si>
  <si>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</si>
  <si>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</si>
  <si>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</si>
  <si>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</si>
  <si>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</si>
  <si>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</si>
  <si>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</si>
  <si>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</si>
  <si>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</si>
  <si>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</si>
  <si>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</si>
  <si>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</si>
  <si>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</si>
  <si>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</si>
  <si>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</si>
  <si>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</si>
  <si>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</si>
  <si>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</si>
  <si>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</si>
  <si>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</si>
  <si>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</si>
  <si>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</si>
  <si>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</si>
  <si>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</si>
  <si>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</si>
  <si>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</si>
  <si>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</si>
  <si>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</si>
  <si>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</si>
  <si>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</si>
  <si>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</si>
  <si>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</si>
  <si>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</si>
  <si>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</si>
  <si>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</si>
  <si>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</si>
  <si>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</si>
  <si>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</si>
  <si>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</si>
  <si>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</si>
  <si>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</si>
  <si>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</si>
  <si>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</si>
  <si>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</si>
  <si>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</si>
  <si>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</si>
  <si>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</si>
  <si>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</si>
  <si>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</si>
  <si>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</si>
  <si>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</si>
  <si>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</si>
  <si>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</si>
  <si>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</si>
  <si>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</si>
  <si>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</si>
  <si>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</si>
  <si>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</si>
  <si>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</si>
  <si>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</si>
  <si>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</si>
  <si>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</si>
  <si>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</si>
  <si>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</si>
  <si>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</si>
  <si>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</si>
  <si>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</si>
  <si>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</si>
  <si>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</si>
  <si>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</si>
  <si>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</si>
  <si>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</si>
  <si>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</si>
  <si>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</si>
  <si>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</si>
  <si>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</si>
  <si>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</si>
  <si>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</si>
  <si>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</si>
  <si>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</si>
  <si>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</si>
  <si>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</si>
  <si>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</si>
  <si>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</si>
  <si>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</si>
  <si>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</si>
  <si>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</si>
  <si>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</si>
  <si>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</si>
  <si>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</si>
  <si>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</si>
  <si>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</si>
  <si>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</si>
  <si>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</si>
  <si>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</si>
  <si>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</si>
  <si>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</si>
  <si>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</si>
  <si>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</si>
  <si>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</si>
  <si>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</si>
  <si>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</si>
  <si>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</si>
  <si>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</si>
  <si>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</si>
  <si>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</si>
  <si>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</si>
  <si>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</si>
  <si>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</si>
  <si>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</si>
  <si>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</si>
  <si>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</si>
  <si>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</si>
  <si>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</si>
  <si>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</si>
  <si>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</si>
  <si>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</si>
  <si>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</si>
  <si>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</si>
  <si>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</si>
  <si>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</si>
  <si>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</si>
  <si>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</si>
  <si>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</si>
  <si>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</si>
  <si>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</si>
  <si>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</si>
  <si>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</si>
  <si>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</si>
  <si>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</si>
  <si>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</si>
  <si>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</si>
  <si>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</si>
  <si>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</si>
  <si>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</si>
  <si>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</si>
  <si>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</si>
  <si>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</si>
  <si>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</si>
  <si>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</si>
  <si>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</si>
  <si>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</si>
  <si>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</si>
  <si>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</si>
  <si>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</si>
  <si>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</si>
  <si>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</si>
  <si>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</si>
  <si>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</si>
  <si>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</si>
  <si>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</si>
  <si>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</si>
  <si>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</si>
  <si>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</si>
  <si>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</si>
  <si>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</si>
  <si>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</si>
  <si>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</si>
  <si>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</si>
  <si>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</si>
  <si>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</si>
  <si>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</si>
  <si>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</si>
  <si>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</si>
  <si>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</si>
  <si>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</si>
  <si>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</si>
  <si>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</si>
  <si>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</si>
  <si>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</si>
  <si>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</si>
  <si>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</si>
  <si>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</si>
  <si>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</si>
  <si>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</si>
  <si>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</si>
  <si>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</si>
  <si>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</si>
  <si>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</si>
  <si>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</si>
  <si>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</si>
  <si>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</si>
  <si>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</si>
  <si>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</si>
  <si>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</si>
  <si>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</si>
  <si>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</si>
  <si>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</si>
  <si>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</si>
  <si>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</si>
  <si>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</si>
  <si>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</si>
  <si>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</si>
  <si>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</si>
  <si>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</si>
  <si>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</si>
  <si>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</si>
  <si>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</si>
  <si>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</si>
  <si>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</si>
  <si>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</si>
  <si>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</si>
  <si>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</si>
  <si>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</si>
  <si>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</si>
  <si>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</si>
  <si>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</si>
  <si>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</si>
  <si>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</si>
  <si>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</si>
  <si>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</si>
  <si>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</si>
  <si>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</si>
  <si>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</si>
  <si>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</si>
  <si>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</si>
  <si>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</si>
  <si>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</si>
  <si>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</si>
  <si>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</si>
  <si>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</si>
  <si>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</si>
  <si>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</si>
  <si>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</si>
  <si>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</si>
  <si>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</si>
  <si>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</si>
  <si>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</si>
  <si>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</si>
  <si>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</si>
  <si>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</si>
  <si>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</si>
  <si>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</si>
  <si>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</si>
  <si>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</si>
  <si>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</si>
  <si>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</si>
  <si>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</si>
  <si>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</si>
  <si>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</si>
  <si>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</si>
  <si>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</si>
  <si>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</si>
  <si>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</si>
  <si>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</si>
  <si>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</si>
  <si>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</si>
  <si>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</si>
  <si>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</si>
  <si>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</si>
  <si>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</si>
  <si>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</si>
  <si>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</si>
  <si>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</si>
  <si>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</si>
  <si>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</si>
  <si>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</si>
  <si>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</si>
  <si>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</si>
  <si>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</si>
  <si>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</si>
  <si>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</si>
  <si>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</si>
  <si>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</si>
  <si>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</si>
  <si>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</si>
  <si>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</si>
  <si>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</si>
  <si>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</si>
  <si>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</si>
  <si>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</si>
  <si>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</si>
  <si>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</si>
  <si>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</si>
  <si>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</si>
  <si>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</si>
  <si>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</si>
  <si>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</si>
  <si>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</si>
  <si>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</si>
  <si>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</si>
  <si>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</si>
  <si>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</si>
  <si>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</si>
  <si>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</si>
  <si>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</si>
  <si>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</si>
  <si>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</si>
  <si>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</si>
  <si>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</si>
  <si>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</si>
  <si>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</si>
  <si>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</si>
  <si>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</si>
  <si>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</si>
  <si>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</si>
  <si>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</si>
  <si>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</si>
  <si>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</si>
  <si>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</si>
  <si>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</si>
  <si>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</si>
  <si>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</si>
  <si>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</si>
  <si>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</si>
  <si>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</si>
  <si>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</si>
  <si>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</si>
  <si>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</si>
  <si>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</si>
  <si>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</si>
  <si>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</si>
  <si>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</si>
  <si>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</si>
  <si>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</si>
  <si>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</si>
  <si>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</si>
  <si>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</si>
  <si>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</si>
  <si>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</si>
  <si>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</si>
  <si>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</si>
  <si>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</si>
  <si>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</si>
  <si>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</si>
  <si>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</si>
  <si>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</si>
  <si>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</si>
  <si>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</si>
  <si>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</si>
  <si>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</si>
  <si>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</si>
  <si>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</si>
  <si>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</si>
  <si>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</si>
  <si>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</si>
  <si>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</si>
  <si>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</si>
  <si>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</si>
  <si>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</si>
  <si>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</si>
  <si>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</si>
  <si>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</si>
  <si>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</si>
  <si>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</si>
  <si>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</si>
  <si>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</si>
  <si>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</si>
  <si>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</si>
  <si>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</si>
  <si>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</si>
  <si>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</si>
  <si>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</si>
  <si>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</si>
  <si>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</si>
  <si>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</si>
  <si>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</si>
  <si>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</si>
  <si>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</si>
  <si>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</si>
  <si>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</si>
  <si>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</si>
  <si>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</si>
  <si>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</si>
  <si>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</si>
  <si>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</si>
  <si>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</si>
  <si>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</si>
  <si>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</si>
  <si>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</si>
  <si>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</si>
  <si>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</si>
  <si>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</si>
  <si>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</si>
  <si>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</si>
  <si>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</si>
  <si>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</si>
  <si>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</si>
  <si>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</si>
  <si>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</si>
  <si>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</si>
  <si>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</si>
  <si>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</si>
  <si>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</si>
  <si>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</si>
  <si>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</si>
  <si>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</si>
  <si>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</si>
  <si>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</si>
  <si>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</si>
  <si>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</si>
  <si>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</si>
  <si>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</si>
  <si>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</si>
  <si>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</si>
  <si>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</si>
  <si>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</si>
  <si>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</si>
  <si>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</si>
  <si>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</si>
  <si>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</si>
  <si>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</si>
  <si>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</si>
  <si>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</si>
  <si>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</si>
  <si>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</si>
  <si>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</si>
  <si>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</si>
  <si>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</si>
  <si>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</si>
  <si>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</si>
  <si>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</si>
  <si>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</si>
  <si>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</si>
  <si>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</si>
  <si>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</si>
  <si>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</si>
  <si>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</si>
  <si>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</si>
  <si>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</si>
  <si>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</si>
  <si>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</si>
  <si>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</si>
  <si>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</si>
  <si>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</si>
  <si>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</si>
  <si>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</si>
  <si>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</si>
  <si>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</si>
  <si>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</si>
  <si>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</si>
  <si>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</si>
  <si>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</si>
  <si>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</si>
  <si>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</si>
  <si>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</si>
  <si>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</si>
  <si>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</si>
  <si>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</si>
  <si>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</si>
  <si>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</si>
  <si>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</si>
  <si>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</si>
  <si>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</si>
  <si>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</si>
  <si>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</si>
  <si>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</si>
  <si>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</si>
  <si>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</si>
  <si>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</si>
  <si>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</si>
  <si>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</si>
  <si>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</si>
  <si>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</si>
  <si>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</si>
  <si>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</si>
  <si>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</si>
  <si>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</si>
  <si>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</si>
  <si>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</si>
  <si>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</si>
  <si>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</si>
  <si>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</si>
  <si>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</si>
  <si>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</si>
  <si>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</si>
  <si>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</si>
  <si>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</si>
  <si>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</si>
  <si>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</si>
  <si>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</si>
  <si>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</si>
  <si>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</si>
  <si>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</si>
  <si>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</si>
  <si>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</si>
  <si>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</si>
  <si>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</si>
  <si>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</si>
  <si>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</si>
  <si>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</si>
  <si>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</si>
  <si>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</si>
  <si>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</si>
  <si>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</si>
  <si>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</si>
  <si>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</si>
  <si>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</si>
  <si>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</si>
  <si>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</si>
  <si>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</si>
  <si>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</si>
  <si>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</si>
  <si>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</si>
  <si>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</si>
  <si>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</si>
  <si>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</si>
  <si>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</si>
  <si>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</si>
  <si>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</si>
  <si>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</si>
  <si>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</si>
  <si>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</si>
  <si>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</si>
  <si>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</si>
  <si>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</si>
  <si>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</si>
  <si>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</si>
  <si>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</si>
  <si>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</si>
  <si>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</si>
  <si>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</si>
  <si>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</si>
  <si>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</si>
  <si>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</si>
  <si>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</si>
  <si>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</si>
  <si>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</si>
  <si>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</si>
  <si>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</si>
  <si>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</si>
  <si>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</si>
  <si>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</si>
  <si>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</si>
  <si>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</si>
  <si>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</si>
  <si>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</si>
  <si>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</si>
  <si>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</si>
  <si>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</si>
  <si>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</si>
  <si>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</si>
  <si>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</si>
  <si>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</si>
  <si>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</si>
  <si>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</si>
  <si>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</si>
  <si>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</si>
  <si>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</si>
  <si>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</si>
  <si>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</si>
  <si>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</si>
  <si>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</si>
  <si>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</si>
  <si>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</si>
  <si>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</si>
  <si>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</si>
  <si>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</si>
  <si>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</si>
  <si>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</si>
  <si>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</si>
  <si>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</si>
  <si>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</si>
  <si>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</si>
  <si>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</si>
  <si>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</si>
  <si>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</si>
  <si>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</si>
  <si>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</si>
  <si>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</si>
  <si>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</si>
  <si>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</si>
  <si>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</si>
  <si>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</si>
  <si>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</si>
  <si>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</si>
  <si>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</si>
  <si>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</si>
  <si>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</si>
  <si>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</si>
  <si>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</si>
  <si>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</si>
  <si>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</si>
  <si>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</si>
  <si>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</si>
  <si>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</si>
  <si>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</si>
  <si>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</si>
  <si>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</si>
  <si>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</si>
  <si>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</si>
  <si>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</si>
  <si>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</si>
  <si>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</si>
  <si>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</si>
  <si>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</si>
  <si>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</si>
  <si>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</si>
  <si>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</si>
  <si>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</si>
  <si>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</si>
  <si>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</si>
  <si>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</si>
  <si>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</si>
  <si>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</si>
  <si>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</si>
  <si>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</si>
  <si>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</si>
  <si>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</si>
  <si>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</si>
  <si>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</si>
  <si>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</si>
  <si>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</si>
  <si>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</si>
  <si>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</si>
  <si>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</si>
  <si>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</si>
  <si>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</si>
  <si>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</si>
  <si>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</si>
  <si>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</si>
  <si>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</si>
  <si>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</si>
  <si>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</si>
  <si>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</si>
  <si>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</si>
  <si>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</si>
  <si>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</si>
  <si>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</si>
  <si>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</si>
  <si>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</si>
  <si>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</si>
  <si>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</si>
  <si>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</si>
  <si>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</si>
  <si>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</si>
  <si>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</si>
  <si>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</si>
  <si>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</si>
  <si>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</si>
  <si>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</si>
  <si>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</si>
  <si>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</si>
  <si>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</si>
  <si>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</si>
  <si>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</si>
  <si>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</si>
  <si>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</si>
  <si>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</si>
  <si>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</si>
  <si>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</si>
  <si>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</si>
  <si>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</si>
  <si>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</si>
  <si>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</si>
  <si>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</si>
  <si>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</si>
  <si>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</si>
  <si>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</si>
  <si>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</si>
  <si>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</si>
  <si>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</si>
  <si>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</si>
  <si>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</si>
  <si>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</si>
  <si>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</si>
  <si>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</si>
  <si>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</si>
  <si>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</si>
  <si>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</si>
  <si>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</si>
  <si>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</si>
  <si>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</si>
  <si>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</si>
  <si>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</si>
  <si>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</si>
  <si>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</si>
  <si>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</si>
  <si>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</si>
  <si>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</si>
  <si>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</si>
  <si>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</si>
  <si>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</si>
  <si>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</si>
  <si>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</si>
  <si>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</si>
  <si>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</si>
  <si>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</si>
  <si>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</si>
  <si>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</si>
  <si>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</si>
  <si>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</si>
  <si>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</si>
  <si>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</si>
  <si>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</si>
  <si>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</si>
  <si>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</si>
  <si>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</si>
  <si>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</si>
  <si>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</si>
  <si>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</si>
  <si>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</si>
  <si>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</si>
  <si>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</si>
  <si>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</si>
  <si>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</si>
  <si>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</si>
  <si>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</si>
  <si>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</si>
  <si>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</si>
  <si>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</si>
  <si>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</si>
  <si>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</si>
  <si>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</si>
  <si>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</si>
  <si>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</si>
  <si>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</si>
  <si>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</si>
  <si>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</si>
  <si>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</si>
  <si>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</si>
  <si>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</si>
  <si>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</si>
  <si>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</si>
  <si>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</si>
  <si>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</si>
  <si>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</si>
  <si>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</si>
  <si>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</si>
  <si>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</si>
  <si>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</si>
  <si>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</si>
  <si>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</si>
  <si>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</si>
  <si>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</si>
  <si>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</si>
  <si>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</si>
  <si>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</si>
  <si>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</si>
  <si>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</si>
  <si>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</si>
  <si>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</si>
  <si>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</si>
  <si>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</si>
  <si>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</si>
  <si>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</si>
  <si>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</si>
  <si>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</si>
  <si>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</si>
  <si>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</si>
  <si>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</si>
  <si>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</si>
  <si>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</si>
  <si>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</si>
  <si>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</si>
  <si>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</si>
  <si>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</si>
  <si>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</si>
  <si>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</si>
  <si>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</si>
  <si>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</si>
  <si>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</si>
  <si>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</si>
  <si>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</si>
  <si>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</si>
  <si>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</si>
  <si>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</si>
  <si>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</si>
  <si>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</si>
  <si>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</si>
  <si>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</si>
  <si>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</si>
  <si>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</si>
  <si>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</si>
  <si>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</si>
  <si>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</si>
  <si>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</si>
  <si>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</si>
  <si>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</si>
  <si>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</si>
  <si>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</si>
  <si>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</si>
  <si>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</si>
  <si>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</si>
  <si>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</si>
  <si>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</si>
  <si>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</si>
  <si>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</si>
  <si>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</si>
  <si>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</si>
  <si>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</si>
  <si>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</si>
  <si>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</si>
  <si>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</si>
  <si>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</si>
  <si>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</si>
  <si>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</si>
  <si>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</si>
  <si>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</si>
  <si>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</si>
  <si>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</si>
  <si>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</si>
  <si>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</si>
  <si>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</si>
  <si>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</si>
  <si>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</si>
  <si>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</si>
  <si>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</si>
  <si>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</si>
  <si>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</si>
  <si>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</si>
  <si>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</si>
  <si>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</si>
  <si>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</si>
  <si>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</si>
  <si>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</si>
  <si>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</si>
  <si>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</si>
  <si>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</si>
  <si>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</si>
  <si>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</si>
  <si>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</si>
  <si>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</si>
  <si>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</si>
  <si>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</si>
  <si>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</si>
  <si>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</si>
  <si>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</si>
  <si>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</si>
  <si>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</si>
  <si>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</si>
  <si>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</si>
  <si>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</si>
  <si>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</si>
  <si>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</si>
  <si>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</si>
  <si>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</si>
  <si>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</si>
  <si>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</si>
  <si>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</si>
  <si>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</si>
  <si>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</si>
  <si>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</si>
  <si>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</si>
  <si>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</si>
  <si>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</si>
  <si>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</si>
  <si>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</si>
  <si>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</si>
  <si>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</si>
  <si>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</si>
  <si>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</si>
  <si>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</si>
  <si>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</si>
  <si>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</si>
  <si>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</si>
  <si>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</si>
  <si>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</si>
  <si>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</si>
  <si>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</si>
  <si>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</si>
  <si>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</si>
  <si>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</si>
  <si>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</si>
  <si>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</si>
  <si>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</si>
  <si>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</si>
  <si>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</si>
  <si>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</si>
  <si>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</si>
  <si>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</si>
  <si>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</si>
  <si>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</si>
  <si>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</si>
  <si>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</si>
  <si>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</si>
  <si>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</si>
  <si>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</si>
  <si>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</si>
  <si>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</si>
  <si>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</si>
  <si>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</si>
  <si>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</si>
  <si>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</si>
  <si>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</si>
  <si>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</si>
  <si>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</si>
  <si>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</si>
  <si>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</si>
  <si>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</si>
  <si>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</si>
  <si>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</si>
  <si>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</si>
  <si>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</si>
  <si>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</si>
  <si>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</si>
  <si>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</si>
  <si>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</si>
  <si>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</si>
  <si>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</si>
  <si>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</si>
  <si>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</si>
  <si>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</si>
  <si>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</si>
  <si>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</si>
  <si>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</si>
  <si>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</si>
  <si>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</si>
  <si>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</si>
  <si>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</si>
  <si>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</si>
  <si>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</si>
  <si>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</si>
  <si>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</si>
  <si>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</si>
  <si>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</si>
  <si>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</si>
  <si>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</si>
  <si>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</si>
  <si>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</si>
  <si>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</si>
  <si>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</si>
  <si>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</si>
  <si>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</si>
  <si>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</si>
  <si>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</si>
  <si>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</si>
  <si>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</si>
  <si>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</si>
  <si>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</si>
  <si>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</si>
  <si>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</si>
  <si>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</si>
  <si>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</si>
  <si>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</si>
  <si>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</si>
  <si>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</si>
  <si>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</si>
  <si>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</si>
  <si>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</si>
  <si>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</si>
  <si>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</si>
  <si>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</si>
  <si>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</si>
  <si>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</si>
  <si>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</si>
  <si>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</si>
  <si>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</si>
  <si>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</si>
  <si>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</si>
  <si>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</si>
  <si>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</si>
  <si>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</si>
  <si>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</si>
  <si>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</si>
  <si>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</si>
  <si>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</si>
  <si>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</si>
  <si>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</si>
  <si>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</si>
  <si>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</si>
  <si>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</si>
  <si>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</si>
  <si>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</si>
  <si>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</si>
  <si>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</si>
  <si>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</si>
  <si>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</si>
  <si>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</si>
  <si>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</si>
  <si>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</si>
  <si>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</si>
  <si>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</si>
  <si>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</si>
  <si>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</si>
  <si>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</si>
  <si>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</si>
  <si>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</si>
  <si>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</si>
  <si>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</si>
  <si>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</si>
  <si>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</si>
  <si>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</si>
  <si>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</si>
  <si>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</si>
  <si>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</si>
  <si>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</si>
  <si>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</si>
  <si>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</si>
  <si>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</si>
  <si>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</si>
  <si>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</si>
  <si>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</si>
  <si>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</si>
  <si>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</si>
  <si>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</si>
  <si>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</si>
  <si>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</si>
  <si>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</si>
  <si>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</si>
  <si>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</si>
  <si>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</si>
  <si>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</si>
  <si>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</si>
  <si>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</si>
  <si>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</si>
  <si>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</si>
  <si>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</si>
  <si>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</si>
  <si>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</si>
  <si>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</si>
  <si>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</si>
  <si>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</si>
  <si>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</si>
  <si>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</si>
  <si>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</si>
  <si>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</si>
  <si>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</si>
  <si>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</si>
  <si>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</si>
  <si>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</si>
  <si>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</si>
  <si>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</si>
  <si>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</si>
  <si>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</si>
  <si>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</si>
  <si>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</si>
  <si>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</si>
  <si>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</si>
  <si>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</si>
  <si>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</si>
  <si>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</si>
  <si>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</si>
  <si>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</si>
  <si>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</si>
  <si>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</si>
  <si>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</si>
  <si>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</si>
  <si>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</si>
  <si>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</si>
  <si>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</si>
  <si>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</si>
  <si>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</si>
  <si>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</si>
  <si>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</si>
  <si>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</si>
  <si>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</si>
  <si>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</si>
  <si>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</si>
  <si>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</si>
  <si>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</si>
  <si>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</si>
  <si>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</si>
  <si>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</si>
  <si>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</si>
  <si>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</si>
  <si>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</si>
  <si>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</si>
  <si>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</si>
  <si>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</si>
  <si>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</si>
  <si>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</si>
  <si>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</si>
  <si>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</si>
  <si>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</si>
  <si>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</si>
  <si>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</si>
  <si>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</si>
  <si>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</si>
  <si>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</si>
  <si>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</si>
  <si>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</si>
  <si>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</si>
  <si>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</si>
  <si>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</si>
  <si>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</si>
  <si>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</si>
  <si>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</si>
  <si>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</si>
  <si>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</si>
  <si>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</si>
  <si>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</si>
  <si>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</si>
  <si>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</si>
  <si>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</si>
  <si>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</si>
  <si>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</si>
  <si>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</si>
  <si>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</si>
  <si>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</si>
  <si>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</si>
  <si>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</si>
  <si>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</si>
  <si>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</si>
  <si>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</si>
  <si>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</si>
  <si>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</si>
  <si>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</si>
  <si>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</si>
  <si>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</si>
  <si>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</si>
  <si>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</si>
  <si>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</si>
  <si>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</si>
  <si>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</si>
  <si>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</si>
  <si>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</si>
  <si>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</si>
  <si>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</si>
  <si>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</si>
  <si>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</si>
  <si>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</si>
  <si>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</si>
  <si>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</si>
  <si>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</si>
  <si>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</si>
  <si>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</si>
  <si>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</si>
  <si>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</si>
  <si>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</si>
  <si>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</si>
  <si>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</si>
  <si>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</si>
  <si>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</si>
  <si>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</si>
  <si>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</si>
  <si>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</si>
  <si>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</si>
  <si>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</si>
  <si>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</si>
  <si>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</si>
  <si>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</si>
  <si>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</si>
  <si>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</si>
  <si>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</si>
  <si>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</si>
  <si>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</si>
  <si>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</si>
  <si>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</si>
  <si>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</si>
  <si>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</si>
  <si>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</si>
  <si>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</si>
  <si>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</si>
  <si>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</si>
  <si>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</si>
  <si>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</si>
  <si>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</si>
  <si>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</si>
  <si>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</si>
  <si>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</si>
  <si>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</si>
  <si>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</si>
  <si>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</si>
  <si>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</si>
  <si>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</si>
  <si>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</si>
  <si>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</si>
  <si>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</si>
  <si>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</si>
  <si>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</si>
  <si>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</si>
  <si>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</si>
  <si>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</si>
  <si>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</si>
  <si>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</si>
  <si>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</si>
  <si>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</si>
  <si>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</si>
  <si>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</si>
  <si>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</si>
  <si>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</si>
  <si>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</si>
  <si>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</si>
  <si>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</si>
  <si>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</si>
  <si>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</si>
  <si>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</si>
  <si>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</si>
  <si>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</si>
  <si>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</si>
  <si>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</si>
  <si>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</si>
  <si>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</si>
  <si>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</si>
  <si>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</si>
  <si>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</si>
  <si>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</si>
  <si>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</si>
  <si>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</si>
  <si>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</si>
  <si>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</si>
  <si>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</si>
  <si>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</si>
  <si>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</si>
  <si>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</si>
  <si>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</si>
  <si>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</si>
  <si>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</si>
  <si>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</si>
  <si>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</si>
  <si>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</si>
  <si>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</si>
  <si>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</si>
  <si>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</si>
  <si>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</si>
  <si>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</si>
  <si>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</si>
  <si>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</si>
  <si>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</si>
  <si>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</si>
  <si>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</si>
  <si>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</si>
  <si>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</si>
  <si>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</si>
  <si>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</si>
  <si>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</si>
  <si>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</si>
  <si>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</si>
  <si>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</si>
  <si>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</si>
  <si>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</si>
  <si>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</si>
  <si>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</si>
  <si>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</si>
  <si>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</si>
  <si>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</si>
  <si>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</si>
  <si>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</si>
  <si>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</si>
  <si>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</si>
  <si>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</si>
  <si>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</si>
  <si>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</si>
  <si>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</si>
  <si>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</si>
  <si>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</si>
  <si>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</si>
  <si>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</si>
  <si>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</si>
  <si>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</si>
  <si>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</si>
  <si>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</si>
  <si>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</si>
  <si>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</si>
  <si>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</si>
  <si>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</si>
  <si>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</si>
  <si>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</si>
  <si>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</si>
  <si>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</si>
  <si>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</si>
  <si>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</si>
  <si>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</si>
  <si>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</si>
  <si>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</si>
  <si>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</si>
  <si>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</si>
  <si>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</si>
  <si>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</si>
  <si>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</si>
  <si>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</si>
  <si>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</si>
  <si>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</si>
  <si>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</si>
  <si>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</si>
  <si>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</si>
  <si>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</si>
  <si>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</si>
  <si>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</si>
  <si>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</si>
  <si>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</si>
  <si>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</si>
  <si>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</si>
  <si>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</si>
  <si>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</si>
  <si>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</si>
  <si>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</si>
  <si>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</si>
  <si>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</si>
  <si>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</si>
  <si>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</si>
  <si>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</si>
  <si>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</si>
  <si>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</si>
  <si>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</si>
  <si>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</si>
  <si>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</si>
  <si>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</si>
  <si>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</si>
  <si>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</si>
  <si>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</si>
  <si>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</si>
  <si>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</si>
  <si>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</si>
  <si>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</si>
  <si>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</si>
  <si>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</si>
  <si>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</si>
  <si>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</si>
  <si>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</si>
  <si>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</si>
  <si>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</si>
  <si>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</si>
  <si>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</si>
  <si>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</si>
  <si>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</si>
  <si>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</si>
  <si>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</si>
  <si>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</si>
  <si>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</si>
  <si>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</si>
  <si>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</si>
  <si>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</si>
  <si>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</si>
  <si>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</si>
  <si>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</si>
  <si>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</si>
  <si>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</si>
  <si>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</si>
  <si>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</si>
  <si>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</si>
  <si>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</si>
  <si>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</si>
  <si>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</si>
  <si>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</si>
  <si>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</si>
  <si>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</si>
  <si>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</si>
  <si>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</si>
  <si>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</si>
  <si>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</si>
  <si>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</si>
  <si>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</si>
  <si>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</si>
  <si>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</si>
  <si>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</si>
  <si>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</si>
  <si>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</si>
  <si>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</si>
  <si>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</si>
  <si>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</si>
  <si>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</si>
  <si>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</si>
  <si>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</si>
  <si>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</si>
  <si>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</si>
  <si>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</si>
  <si>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</si>
  <si>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</si>
  <si>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</si>
  <si>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</si>
  <si>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</si>
  <si>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</si>
  <si>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</si>
  <si>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</si>
  <si>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</si>
  <si>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</si>
  <si>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</si>
  <si>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</si>
  <si>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</si>
  <si>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</si>
  <si>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</si>
  <si>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</si>
  <si>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</si>
  <si>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</si>
  <si>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</si>
  <si>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</si>
  <si>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</si>
  <si>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</si>
  <si>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</si>
  <si>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</si>
  <si>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</si>
  <si>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</si>
  <si>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</si>
  <si>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</si>
  <si>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</si>
  <si>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</si>
  <si>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</si>
  <si>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</si>
  <si>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</si>
  <si>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</si>
  <si>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</si>
  <si>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</si>
  <si>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</si>
  <si>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</si>
  <si>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</si>
  <si>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</si>
  <si>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</si>
  <si>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</si>
  <si>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</si>
  <si>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</si>
  <si>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</si>
  <si>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</si>
  <si>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</si>
  <si>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</si>
  <si>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</si>
  <si>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</si>
  <si>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</si>
  <si>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</si>
  <si>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</si>
  <si>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</si>
  <si>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</si>
  <si>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</si>
  <si>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</si>
  <si>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</si>
  <si>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</si>
  <si>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</si>
  <si>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</si>
  <si>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</si>
  <si>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</si>
  <si>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</si>
  <si>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</si>
  <si>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</si>
  <si>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</si>
  <si>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</si>
  <si>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</si>
  <si>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</si>
  <si>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</si>
  <si>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</si>
  <si>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</si>
  <si>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</si>
  <si>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</si>
  <si>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</si>
  <si>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</si>
  <si>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</si>
  <si>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</si>
  <si>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</si>
  <si>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</si>
  <si>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</si>
  <si>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</si>
  <si>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</si>
  <si>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</si>
  <si>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</si>
  <si>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</si>
  <si>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</si>
  <si>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</si>
  <si>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</si>
  <si>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</si>
  <si>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</si>
  <si>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</si>
  <si>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</si>
  <si>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</si>
  <si>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</si>
  <si>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</si>
  <si>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</si>
  <si>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</si>
  <si>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</si>
  <si>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</si>
  <si>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</si>
  <si>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</si>
  <si>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</si>
  <si>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</si>
  <si>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</si>
  <si>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</si>
  <si>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</si>
  <si>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</si>
  <si>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</si>
  <si>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</si>
  <si>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</si>
  <si>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</si>
  <si>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</si>
  <si>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</si>
  <si>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</si>
  <si>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</si>
  <si>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</si>
  <si>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</si>
  <si>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</si>
  <si>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</si>
  <si>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</si>
  <si>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</si>
  <si>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</si>
  <si>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</si>
  <si>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</si>
  <si>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</si>
  <si>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</si>
  <si>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</si>
  <si>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</si>
  <si>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</si>
  <si>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</si>
  <si>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</si>
  <si>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</si>
  <si>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</si>
  <si>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</si>
  <si>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</si>
  <si>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</si>
  <si>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</si>
  <si>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</si>
  <si>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</si>
  <si>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</si>
  <si>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</si>
  <si>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</si>
  <si>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</si>
  <si>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</si>
  <si>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</si>
  <si>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</si>
  <si>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</si>
  <si>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</si>
  <si>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</si>
  <si>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</si>
  <si>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</si>
  <si>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</si>
  <si>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</si>
  <si>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</si>
  <si>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</si>
  <si>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</si>
  <si>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</si>
  <si>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</si>
  <si>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</si>
  <si>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</si>
  <si>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</si>
  <si>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</si>
  <si>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</si>
  <si>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</si>
  <si>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</si>
  <si>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</si>
  <si>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</si>
  <si>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</si>
  <si>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</si>
  <si>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</si>
  <si>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</si>
  <si>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</si>
  <si>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</si>
  <si>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</si>
  <si>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</si>
  <si>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</si>
  <si>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</si>
  <si>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</si>
  <si>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</si>
  <si>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</si>
  <si>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</si>
  <si>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</si>
  <si>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</si>
  <si>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</si>
  <si>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</si>
  <si>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</si>
  <si>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</si>
  <si>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</si>
  <si>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</si>
  <si>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</si>
  <si>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</si>
  <si>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</si>
  <si>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</si>
  <si>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</si>
  <si>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</si>
  <si>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</si>
  <si>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</si>
  <si>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</si>
  <si>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</si>
  <si>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</si>
  <si>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</si>
  <si>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</si>
  <si>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</si>
  <si>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</si>
  <si>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</si>
  <si>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</si>
  <si>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</si>
  <si>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</si>
  <si>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</si>
  <si>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</si>
  <si>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</si>
  <si>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</si>
  <si>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</si>
  <si>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</si>
  <si>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</si>
  <si>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</si>
  <si>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</si>
  <si>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</si>
  <si>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</si>
  <si>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</si>
  <si>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</si>
  <si>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</si>
  <si>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</si>
  <si>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</si>
  <si>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</si>
  <si>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</si>
  <si>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</si>
  <si>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</si>
  <si>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</si>
  <si>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</si>
  <si>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</si>
  <si>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</si>
  <si>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</si>
  <si>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</si>
  <si>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</si>
  <si>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</si>
  <si>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</si>
  <si>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</si>
  <si>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</si>
  <si>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</si>
  <si>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</si>
  <si>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</si>
  <si>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</si>
  <si>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</si>
  <si>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</si>
  <si>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</si>
  <si>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</si>
  <si>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</si>
  <si>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</si>
  <si>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</si>
  <si>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</si>
  <si>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</si>
  <si>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</si>
  <si>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</si>
  <si>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</si>
  <si>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</si>
  <si>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</si>
  <si>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</si>
  <si>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</si>
  <si>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</si>
  <si>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</si>
  <si>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</si>
  <si>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</si>
  <si>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</si>
  <si>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</si>
  <si>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</si>
  <si>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</si>
  <si>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</si>
  <si>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</si>
  <si>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</si>
  <si>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</si>
  <si>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</si>
  <si>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</si>
  <si>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</si>
  <si>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</si>
  <si>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</si>
  <si>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</si>
  <si>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</si>
  <si>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</si>
  <si>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</si>
  <si>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</si>
  <si>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</si>
  <si>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</si>
  <si>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</si>
  <si>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</si>
  <si>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</si>
  <si>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</si>
  <si>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</si>
  <si>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</si>
  <si>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</si>
  <si>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</si>
  <si>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</si>
  <si>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</si>
  <si>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</si>
  <si>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</si>
  <si>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</si>
  <si>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</si>
  <si>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</si>
  <si>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</si>
  <si>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</si>
  <si>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</si>
  <si>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</si>
  <si>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</si>
  <si>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</si>
  <si>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</si>
  <si>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</si>
  <si>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</si>
  <si>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</si>
  <si>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</si>
  <si>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</si>
  <si>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</si>
  <si>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</si>
  <si>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</si>
  <si>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</si>
  <si>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</si>
  <si>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</si>
  <si>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</si>
  <si>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</si>
  <si>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</si>
  <si>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</si>
  <si>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</si>
  <si>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</si>
  <si>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</si>
  <si>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</si>
  <si>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</si>
  <si>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</si>
  <si>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</si>
  <si>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</si>
  <si>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</si>
  <si>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</si>
  <si>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</si>
  <si>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</si>
  <si>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</si>
  <si>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</si>
  <si>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</si>
  <si>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</si>
  <si>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</si>
  <si>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</si>
  <si>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</si>
  <si>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</si>
  <si>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</si>
  <si>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</si>
  <si>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</si>
  <si>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</si>
  <si>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</si>
  <si>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</si>
  <si>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</si>
  <si>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</si>
  <si>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</si>
  <si>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</si>
  <si>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</si>
  <si>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</si>
  <si>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</si>
  <si>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</si>
  <si>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</si>
  <si>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</si>
  <si>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</si>
  <si>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</si>
  <si>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</si>
  <si>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</si>
  <si>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</si>
  <si>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</si>
  <si>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</si>
  <si>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</si>
  <si>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</si>
  <si>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</si>
  <si>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</si>
  <si>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</si>
  <si>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</si>
  <si>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</si>
  <si>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</si>
  <si>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</si>
  <si>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</si>
  <si>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</si>
  <si>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</si>
  <si>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</si>
  <si>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</si>
  <si>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</si>
  <si>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</si>
  <si>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</si>
  <si>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</si>
  <si>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</si>
  <si>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</si>
  <si>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</si>
  <si>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</si>
  <si>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</si>
  <si>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</si>
  <si>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</si>
  <si>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</si>
  <si>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</si>
  <si>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</si>
  <si>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</si>
  <si>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</si>
  <si>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</si>
  <si>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</si>
  <si>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</si>
  <si>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</si>
  <si>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</si>
  <si>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</si>
  <si>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</si>
  <si>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</si>
  <si>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</si>
  <si>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</si>
  <si>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</si>
  <si>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</si>
  <si>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</si>
  <si>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</si>
  <si>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</si>
  <si>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</si>
  <si>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</si>
  <si>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</si>
  <si>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</si>
  <si>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</si>
  <si>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</si>
  <si>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</si>
  <si>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</si>
  <si>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</si>
  <si>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</si>
  <si>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</si>
  <si>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</si>
  <si>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</si>
  <si>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</si>
  <si>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</si>
  <si>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</si>
  <si>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</si>
  <si>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</si>
  <si>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</si>
  <si>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</si>
  <si>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</si>
  <si>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</si>
  <si>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</si>
  <si>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</si>
  <si>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</si>
  <si>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</si>
  <si>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</si>
  <si>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</si>
  <si>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</si>
  <si>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</si>
  <si>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</si>
  <si>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</si>
  <si>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</si>
  <si>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</si>
  <si>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</si>
  <si>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</si>
  <si>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</si>
  <si>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</si>
  <si>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</si>
  <si>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</si>
  <si>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</si>
  <si>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</si>
  <si>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</si>
  <si>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</si>
  <si>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</si>
  <si>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</si>
  <si>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</si>
  <si>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</si>
  <si>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</si>
  <si>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</si>
  <si>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</si>
  <si>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</si>
  <si>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</si>
  <si>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</si>
  <si>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</si>
  <si>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</si>
  <si>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</si>
  <si>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</si>
  <si>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</si>
  <si>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</si>
  <si>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</si>
  <si>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</si>
  <si>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</si>
  <si>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</si>
  <si>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</si>
  <si>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</si>
  <si>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</si>
  <si>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</si>
  <si>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</si>
  <si>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</si>
  <si>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</si>
  <si>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</si>
  <si>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</si>
  <si>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</si>
  <si>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</si>
  <si>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</si>
  <si>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</si>
  <si>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</si>
  <si>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</si>
  <si>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</si>
  <si>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</si>
  <si>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</si>
  <si>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</si>
  <si>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</si>
  <si>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</si>
  <si>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</si>
  <si>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</si>
  <si>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</si>
  <si>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</si>
  <si>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</si>
  <si>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</si>
  <si>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</si>
  <si>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</si>
  <si>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</si>
  <si>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</si>
  <si>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</si>
  <si>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</si>
  <si>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</si>
  <si>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</si>
  <si>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</si>
  <si>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</si>
  <si>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</si>
  <si>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</si>
  <si>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</si>
  <si>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</si>
  <si>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</si>
  <si>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</si>
  <si>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</si>
  <si>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</si>
  <si>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</si>
  <si>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</si>
  <si>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</si>
  <si>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</si>
  <si>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</si>
  <si>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</si>
  <si>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</si>
  <si>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</si>
  <si>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</si>
  <si>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</si>
  <si>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</si>
  <si>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</si>
  <si>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</si>
  <si>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</si>
  <si>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</si>
  <si>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</si>
  <si>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</si>
  <si>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</si>
  <si>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</si>
  <si>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</si>
  <si>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</si>
  <si>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</si>
  <si>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</si>
  <si>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</si>
  <si>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</si>
  <si>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</si>
  <si>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</si>
  <si>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</si>
  <si>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</si>
  <si>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</si>
  <si>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</si>
  <si>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</si>
  <si>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</si>
  <si>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</si>
  <si>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</si>
  <si>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</si>
  <si>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</si>
  <si>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</si>
  <si>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</si>
  <si>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</si>
  <si>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</si>
  <si>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</si>
  <si>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</si>
  <si>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</si>
  <si>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</si>
  <si>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</si>
  <si>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</si>
  <si>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</si>
  <si>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</si>
  <si>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</si>
  <si>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</si>
  <si>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</si>
  <si>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</si>
  <si>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</si>
  <si>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</si>
  <si>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</si>
  <si>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</si>
  <si>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</si>
  <si>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</si>
  <si>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</si>
  <si>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</si>
  <si>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</si>
  <si>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</si>
  <si>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</si>
  <si>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</si>
  <si>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</si>
  <si>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</si>
  <si>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</si>
  <si>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</si>
  <si>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</si>
  <si>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</si>
  <si>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</si>
  <si>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</si>
  <si>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</si>
  <si>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</si>
  <si>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</si>
  <si>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</si>
  <si>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</si>
  <si>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</si>
  <si>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</si>
  <si>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</si>
  <si>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</si>
  <si>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</si>
  <si>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</si>
  <si>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</si>
  <si>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</si>
  <si>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</si>
  <si>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</si>
  <si>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</si>
  <si>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</si>
  <si>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</si>
  <si>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</si>
  <si>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</si>
  <si>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</si>
  <si>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</si>
  <si>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</si>
  <si>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</si>
  <si>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</si>
  <si>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</si>
  <si>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</si>
  <si>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</si>
  <si>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</si>
  <si>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</si>
  <si>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</si>
  <si>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</si>
  <si>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</si>
  <si>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</si>
  <si>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</si>
  <si>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</si>
  <si>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</si>
  <si>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</si>
  <si>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</si>
  <si>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</si>
  <si>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</si>
  <si>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</si>
  <si>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</si>
  <si>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</si>
  <si>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</si>
  <si>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</si>
  <si>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</si>
  <si>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</si>
  <si>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</si>
  <si>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</si>
  <si>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</si>
  <si>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</si>
  <si>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</si>
  <si>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</si>
  <si>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</si>
  <si>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</si>
  <si>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</si>
  <si>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</si>
  <si>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</si>
  <si>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</si>
  <si>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</si>
  <si>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</si>
  <si>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</si>
  <si>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</si>
  <si>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</si>
  <si>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</si>
  <si>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</si>
  <si>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</si>
  <si>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</si>
  <si>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</si>
  <si>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</si>
  <si>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</si>
  <si>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</si>
  <si>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</si>
  <si>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</si>
  <si>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</si>
  <si>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</si>
  <si>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</si>
  <si>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</si>
  <si>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</si>
  <si>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</si>
  <si>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</si>
  <si>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</si>
  <si>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</si>
  <si>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</si>
  <si>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</si>
  <si>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</si>
  <si>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</si>
  <si>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</si>
  <si>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</si>
  <si>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</si>
  <si>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</si>
  <si>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</si>
  <si>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</si>
  <si>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</si>
  <si>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</si>
  <si>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</si>
  <si>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</si>
  <si>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</si>
  <si>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</si>
  <si>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</si>
  <si>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</si>
  <si>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</si>
  <si>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</si>
  <si>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</si>
  <si>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</si>
  <si>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</si>
  <si>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</si>
  <si>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</si>
  <si>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</si>
  <si>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</si>
  <si>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</si>
  <si>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</si>
  <si>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</si>
  <si>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</si>
  <si>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</si>
  <si>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</si>
  <si>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</si>
  <si>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</si>
  <si>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</si>
  <si>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</si>
  <si>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</si>
  <si>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</si>
  <si>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</si>
  <si>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</si>
  <si>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</si>
  <si>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</si>
  <si>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</si>
  <si>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</si>
  <si>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</si>
  <si>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</si>
  <si>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</si>
  <si>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</si>
  <si>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</si>
  <si>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</si>
  <si>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</si>
  <si>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</si>
  <si>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</si>
  <si>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</si>
  <si>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</si>
  <si>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</si>
  <si>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</si>
  <si>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</si>
  <si>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</si>
  <si>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</si>
  <si>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</si>
  <si>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</si>
  <si>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</si>
  <si>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</si>
  <si>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</si>
  <si>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</si>
  <si>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</si>
  <si>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</si>
  <si>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</si>
  <si>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</si>
  <si>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</si>
  <si>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</si>
  <si>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</si>
  <si>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</si>
  <si>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</si>
  <si>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</si>
  <si>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</si>
  <si>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</si>
  <si>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</si>
  <si>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</si>
  <si>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</si>
  <si>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</si>
  <si>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</si>
  <si>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</si>
  <si>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</si>
  <si>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</si>
  <si>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</si>
  <si>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</si>
  <si>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</si>
  <si>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</si>
  <si>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</si>
  <si>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</si>
  <si>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</si>
  <si>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</si>
  <si>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</si>
  <si>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</si>
  <si>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</si>
  <si>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</si>
  <si>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</si>
  <si>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</si>
  <si>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</si>
  <si>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</si>
  <si>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</si>
  <si>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</si>
  <si>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</si>
  <si>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</si>
  <si>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</si>
  <si>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</si>
  <si>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</si>
  <si>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</si>
  <si>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</si>
  <si>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</si>
  <si>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</si>
  <si>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</si>
  <si>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</si>
  <si>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</si>
  <si>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</si>
  <si>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</si>
  <si>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</si>
  <si>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</si>
  <si>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</si>
  <si>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</si>
  <si>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</si>
  <si>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</si>
  <si>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</si>
  <si>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</si>
  <si>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</si>
  <si>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</si>
  <si>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</si>
  <si>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</si>
  <si>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</si>
  <si>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</si>
  <si>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</si>
  <si>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</si>
  <si>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</si>
  <si>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</si>
  <si>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</si>
  <si>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</si>
  <si>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</si>
  <si>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</si>
  <si>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</si>
  <si>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</si>
  <si>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</si>
  <si>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</si>
  <si>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</si>
  <si>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</si>
  <si>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</si>
  <si>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</si>
  <si>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</si>
  <si>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</si>
  <si>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</si>
  <si>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</si>
  <si>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</si>
  <si>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</si>
  <si>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</si>
  <si>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</si>
  <si>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</si>
  <si>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</si>
  <si>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</si>
  <si>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</si>
  <si>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</si>
  <si>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</si>
  <si>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</si>
  <si>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</si>
  <si>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</si>
  <si>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</si>
  <si>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</si>
  <si>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</si>
  <si>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</si>
  <si>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</si>
  <si>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</si>
  <si>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</si>
  <si>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</si>
  <si>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</si>
  <si>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</si>
  <si>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</si>
  <si>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</si>
  <si>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</si>
  <si>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</si>
  <si>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</si>
  <si>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</si>
  <si>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</si>
  <si>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</si>
  <si>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</si>
  <si>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</si>
  <si>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</si>
  <si>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</si>
  <si>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</si>
  <si>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</si>
  <si>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</si>
  <si>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</si>
  <si>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</si>
  <si>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</si>
  <si>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</si>
  <si>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</si>
  <si>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</si>
  <si>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</si>
  <si>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</si>
  <si>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</si>
  <si>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</si>
  <si>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</si>
  <si>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</si>
  <si>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</si>
  <si>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</si>
  <si>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</si>
  <si>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</si>
  <si>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</si>
  <si>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</si>
  <si>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</si>
  <si>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</si>
  <si>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</si>
  <si>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</si>
  <si>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</si>
  <si>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</si>
  <si>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</si>
  <si>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</si>
  <si>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</si>
  <si>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</si>
  <si>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</si>
  <si>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</si>
  <si>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</si>
  <si>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</si>
  <si>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</si>
  <si>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</si>
  <si>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</si>
  <si>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</si>
  <si>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</si>
  <si>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</si>
  <si>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</si>
  <si>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</si>
  <si>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</si>
  <si>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</si>
  <si>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</si>
  <si>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</si>
  <si>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</si>
  <si>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</si>
  <si>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</si>
  <si>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</si>
  <si>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</si>
  <si>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</si>
  <si>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</si>
  <si>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</si>
  <si>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</si>
  <si>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</si>
  <si>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</si>
  <si>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</si>
  <si>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</si>
  <si>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</si>
  <si>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</si>
  <si>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</si>
  <si>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</si>
  <si>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</si>
  <si>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</si>
  <si>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</si>
  <si>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</si>
  <si>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</si>
  <si>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</si>
  <si>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</si>
  <si>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</si>
  <si>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</si>
  <si>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</si>
  <si>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</si>
  <si>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</si>
  <si>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</si>
  <si>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</si>
  <si>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</si>
  <si>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</si>
  <si>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</si>
  <si>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</si>
  <si>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</si>
  <si>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</si>
  <si>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</si>
  <si>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</si>
  <si>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</si>
  <si>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</si>
  <si>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</si>
  <si>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</si>
  <si>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</si>
  <si>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</si>
  <si>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</si>
  <si>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</si>
  <si>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</si>
  <si>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</si>
  <si>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</si>
  <si>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</si>
  <si>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</si>
  <si>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</si>
  <si>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</si>
  <si>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</si>
  <si>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</si>
  <si>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</si>
  <si>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</si>
  <si>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</si>
  <si>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</si>
  <si>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</si>
  <si>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</si>
  <si>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</si>
  <si>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</si>
  <si>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</si>
  <si>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</si>
  <si>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</si>
  <si>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</si>
  <si>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</si>
  <si>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</si>
  <si>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</si>
  <si>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</si>
  <si>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</si>
  <si>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</si>
  <si>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</si>
  <si>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</si>
  <si>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</si>
  <si>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</si>
  <si>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</si>
  <si>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</si>
  <si>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</si>
  <si>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</si>
  <si>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</si>
  <si>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</si>
  <si>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</si>
  <si>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</si>
  <si>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</si>
  <si>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</si>
  <si>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</si>
  <si>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</si>
  <si>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</si>
  <si>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</si>
  <si>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</si>
  <si>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</si>
  <si>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</si>
  <si>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</si>
  <si>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</si>
  <si>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</si>
  <si>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</si>
  <si>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</si>
  <si>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</si>
  <si>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</si>
  <si>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</si>
  <si>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</si>
  <si>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</si>
  <si>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</si>
  <si>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</si>
  <si>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</si>
  <si>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</si>
  <si>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</si>
  <si>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</si>
  <si>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</si>
  <si>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</si>
  <si>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</si>
  <si>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</si>
  <si>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</si>
  <si>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</si>
  <si>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</si>
  <si>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</si>
  <si>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</si>
  <si>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</si>
  <si>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</si>
  <si>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</si>
  <si>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</si>
  <si>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</si>
  <si>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</si>
  <si>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</si>
  <si>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</si>
  <si>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</si>
  <si>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</si>
  <si>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</si>
  <si>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</si>
  <si>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</si>
  <si>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</si>
  <si>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</si>
  <si>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</si>
  <si>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</si>
  <si>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</si>
  <si>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</si>
  <si>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</si>
  <si>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</si>
  <si>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</si>
  <si>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</si>
  <si>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</si>
  <si>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</si>
  <si>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</si>
  <si>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</si>
  <si>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</si>
  <si>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</si>
  <si>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</si>
  <si>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</si>
  <si>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</si>
  <si>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</si>
  <si>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</si>
  <si>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</si>
  <si>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</si>
  <si>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</si>
  <si>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</si>
  <si>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</si>
  <si>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</si>
  <si>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</si>
  <si>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</si>
  <si>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</si>
  <si>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</si>
  <si>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</si>
  <si>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</si>
  <si>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</si>
  <si>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</si>
  <si>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</si>
  <si>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</si>
  <si>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</si>
  <si>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</si>
  <si>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</si>
  <si>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</si>
  <si>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</si>
  <si>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</si>
  <si>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</si>
  <si>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</si>
  <si>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</si>
  <si>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</si>
  <si>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</si>
  <si>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</si>
  <si>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</si>
  <si>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</si>
  <si>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</si>
  <si>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</si>
  <si>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</si>
  <si>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</si>
  <si>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</si>
  <si>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</si>
  <si>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</si>
  <si>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</si>
  <si>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</si>
  <si>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</si>
  <si>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</si>
  <si>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</si>
  <si>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</si>
  <si>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</si>
  <si>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</si>
  <si>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</si>
  <si>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</si>
  <si>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</si>
  <si>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</si>
  <si>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</si>
  <si>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</si>
  <si>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</si>
  <si>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</si>
  <si>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</si>
  <si>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</si>
  <si>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</si>
  <si>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</si>
  <si>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</si>
  <si>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</si>
  <si>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</si>
  <si>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</si>
  <si>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</si>
  <si>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</si>
  <si>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</si>
  <si>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</si>
  <si>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</si>
  <si>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</si>
  <si>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</si>
  <si>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</si>
  <si>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</si>
  <si>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</si>
  <si>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</si>
  <si>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</si>
  <si>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</si>
  <si>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</si>
  <si>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</si>
  <si>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</si>
  <si>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</si>
  <si>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</si>
  <si>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</si>
  <si>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</si>
  <si>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</si>
  <si>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</si>
  <si>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</si>
  <si>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</si>
  <si>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</si>
  <si>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</si>
  <si>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</si>
  <si>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</si>
  <si>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</si>
  <si>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</si>
  <si>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</si>
  <si>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</si>
  <si>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</si>
  <si>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</si>
  <si>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</si>
  <si>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</si>
  <si>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</si>
  <si>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</si>
  <si>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</si>
  <si>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</si>
  <si>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</si>
  <si>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</si>
  <si>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</si>
  <si>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</si>
  <si>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</si>
  <si>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</si>
  <si>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</si>
  <si>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</si>
  <si>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</si>
  <si>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</si>
  <si>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</si>
  <si>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</si>
  <si>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</si>
  <si>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</si>
  <si>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</si>
  <si>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</si>
  <si>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</si>
  <si>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</si>
  <si>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</si>
  <si>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</si>
  <si>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</si>
  <si>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</si>
  <si>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</si>
  <si>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</si>
  <si>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</si>
  <si>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</si>
  <si>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</si>
  <si>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</si>
  <si>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</si>
  <si>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</si>
  <si>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</si>
  <si>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</si>
  <si>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</si>
  <si>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</si>
  <si>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</si>
  <si>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</si>
  <si>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</si>
  <si>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</si>
  <si>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</si>
  <si>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</si>
  <si>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</si>
  <si>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</si>
  <si>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</si>
  <si>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</si>
  <si>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</si>
  <si>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</si>
  <si>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</si>
  <si>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</si>
  <si>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</si>
  <si>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</si>
  <si>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</si>
  <si>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</si>
  <si>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</si>
  <si>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</si>
  <si>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</si>
  <si>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</si>
  <si>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</si>
  <si>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</si>
  <si>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</si>
  <si>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</si>
  <si>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</si>
  <si>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</si>
  <si>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</si>
  <si>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</si>
  <si>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</si>
  <si>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</si>
  <si>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</si>
  <si>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</si>
  <si>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</si>
  <si>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</si>
  <si>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</si>
  <si>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</si>
  <si>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</si>
  <si>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</si>
  <si>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</si>
  <si>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</si>
  <si>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</si>
  <si>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</si>
  <si>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</si>
  <si>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</si>
  <si>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</si>
  <si>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</si>
  <si>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</si>
  <si>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</si>
  <si>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</si>
  <si>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</si>
  <si>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</si>
  <si>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</si>
  <si>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</si>
  <si>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</si>
  <si>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</si>
  <si>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</si>
  <si>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</si>
  <si>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</si>
  <si>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</si>
  <si>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</si>
  <si>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</si>
  <si>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</si>
  <si>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</si>
  <si>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</si>
  <si>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</si>
  <si>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</si>
  <si>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</si>
  <si>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</si>
  <si>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</si>
  <si>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</si>
  <si>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</si>
  <si>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</si>
  <si>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</si>
  <si>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</si>
  <si>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</si>
  <si>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</si>
  <si>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</si>
  <si>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</si>
  <si>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</si>
  <si>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</si>
  <si>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</si>
  <si>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</si>
  <si>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</si>
  <si>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</si>
  <si>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</si>
  <si>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</si>
  <si>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</si>
  <si>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</si>
  <si>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</si>
  <si>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</si>
  <si>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</si>
  <si>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</si>
  <si>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</si>
  <si>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</si>
  <si>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</si>
  <si>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</si>
  <si>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</si>
  <si>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</si>
  <si>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</si>
  <si>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</si>
  <si>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</si>
  <si>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</si>
  <si>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</si>
  <si>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</si>
  <si>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</si>
  <si>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</si>
  <si>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</si>
  <si>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</si>
  <si>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</si>
  <si>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</si>
  <si>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</si>
  <si>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</si>
  <si>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</si>
  <si>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</si>
  <si>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</si>
  <si>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</si>
  <si>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</si>
  <si>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</si>
  <si>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</si>
  <si>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</si>
  <si>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</si>
  <si>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</si>
  <si>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</si>
  <si>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</si>
  <si>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</si>
  <si>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</si>
  <si>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</si>
  <si>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</si>
  <si>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</si>
  <si>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</si>
  <si>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</si>
  <si>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</si>
  <si>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</si>
  <si>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</si>
  <si>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</si>
  <si>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</si>
  <si>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</si>
  <si>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</si>
  <si>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</si>
  <si>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</si>
  <si>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</si>
  <si>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</si>
  <si>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</si>
  <si>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</si>
  <si>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</si>
  <si>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</si>
  <si>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</si>
  <si>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</si>
  <si>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</si>
  <si>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</si>
  <si>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</si>
  <si>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</si>
  <si>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</si>
  <si>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</si>
  <si>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</si>
  <si>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</si>
  <si>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</si>
  <si>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</si>
  <si>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</si>
  <si>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</si>
  <si>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</si>
  <si>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</si>
  <si>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</si>
  <si>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</si>
  <si>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</si>
  <si>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</si>
  <si>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</si>
  <si>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</si>
  <si>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</si>
  <si>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</si>
  <si>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</si>
  <si>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</si>
  <si>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</si>
  <si>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</si>
  <si>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</si>
  <si>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</si>
  <si>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</si>
  <si>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</si>
  <si>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</si>
  <si>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</si>
  <si>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</si>
  <si>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</si>
  <si>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</si>
  <si>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</si>
  <si>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</si>
  <si>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</si>
  <si>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</si>
  <si>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</si>
  <si>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</si>
  <si>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</si>
  <si>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</si>
  <si>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</si>
  <si>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</si>
  <si>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</si>
  <si>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</si>
  <si>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</si>
  <si>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</si>
  <si>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</si>
  <si>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</si>
  <si>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</si>
  <si>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</si>
  <si>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</si>
  <si>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</si>
  <si>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</si>
  <si>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</si>
  <si>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</si>
  <si>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</si>
  <si>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</si>
  <si>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</si>
  <si>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</si>
  <si>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</si>
  <si>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</si>
  <si>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</si>
  <si>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</si>
  <si>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</si>
  <si>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</si>
  <si>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</si>
  <si>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</si>
  <si>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</si>
  <si>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</si>
  <si>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</si>
  <si>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</si>
  <si>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</si>
  <si>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</si>
  <si>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</si>
  <si>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</si>
  <si>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</si>
  <si>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</si>
  <si>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</si>
  <si>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</si>
  <si>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</si>
  <si>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</si>
  <si>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</si>
  <si>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</si>
  <si>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</si>
  <si>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</si>
  <si>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</si>
  <si>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</si>
  <si>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</si>
  <si>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</si>
  <si>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</si>
  <si>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</si>
  <si>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</si>
  <si>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</si>
  <si>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</si>
  <si>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</si>
  <si>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</si>
  <si>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</si>
  <si>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</si>
  <si>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</si>
  <si>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</si>
  <si>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</si>
  <si>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</si>
  <si>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</si>
  <si>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</si>
  <si>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</si>
  <si>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</si>
  <si>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</si>
  <si>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</si>
  <si>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</si>
  <si>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</si>
  <si>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</si>
  <si>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</si>
  <si>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</si>
  <si>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</si>
  <si>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</si>
  <si>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</si>
  <si>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</si>
  <si>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</si>
  <si>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</si>
  <si>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</si>
  <si>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</si>
  <si>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</si>
  <si>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</si>
  <si>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</si>
  <si>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</si>
  <si>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</si>
  <si>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</si>
  <si>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</si>
  <si>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</si>
  <si>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</si>
  <si>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</si>
  <si>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</si>
  <si>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</si>
  <si>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</si>
  <si>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</si>
  <si>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</si>
  <si>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</si>
  <si>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</si>
  <si>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</si>
  <si>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</si>
  <si>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</si>
  <si>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</si>
  <si>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</si>
  <si>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</si>
  <si>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</si>
  <si>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</si>
  <si>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</si>
  <si>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</si>
  <si>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</si>
  <si>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</si>
  <si>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</si>
  <si>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</si>
  <si>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</si>
  <si>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</si>
  <si>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</si>
  <si>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</si>
  <si>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</si>
  <si>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</si>
  <si>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</si>
  <si>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</si>
  <si>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</si>
  <si>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</si>
  <si>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</si>
  <si>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</si>
  <si>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</si>
  <si>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</si>
  <si>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</si>
  <si>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</si>
  <si>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</si>
  <si>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</si>
  <si>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</si>
  <si>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</si>
  <si>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</si>
  <si>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</si>
  <si>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</si>
  <si>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</si>
  <si>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</si>
  <si>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</si>
  <si>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</si>
  <si>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</si>
  <si>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</si>
  <si>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</si>
  <si>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</si>
  <si>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</si>
  <si>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</si>
  <si>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</si>
  <si>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</si>
  <si>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</si>
  <si>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</si>
  <si>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</si>
  <si>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</si>
  <si>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</si>
  <si>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</si>
  <si>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</si>
  <si>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</si>
  <si>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</si>
  <si>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</si>
  <si>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</si>
  <si>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</si>
  <si>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</si>
  <si>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</si>
  <si>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</si>
  <si>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</si>
  <si>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</si>
  <si>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</si>
  <si>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</si>
  <si>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</si>
  <si>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</si>
  <si>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</si>
  <si>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</si>
  <si>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</si>
  <si>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</si>
  <si>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</si>
  <si>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</si>
  <si>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</si>
  <si>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</si>
  <si>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</si>
  <si>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</si>
  <si>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</si>
  <si>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</si>
  <si>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</si>
  <si>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</si>
  <si>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</si>
  <si>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</si>
  <si>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</si>
  <si>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</si>
  <si>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</si>
  <si>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</si>
  <si>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</si>
  <si>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</si>
  <si>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</si>
  <si>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</si>
  <si>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</si>
  <si>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</si>
  <si>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</si>
  <si>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</si>
  <si>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</si>
  <si>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</si>
  <si>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</si>
  <si>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</si>
  <si>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</si>
  <si>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</si>
  <si>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</si>
  <si>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</si>
  <si>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</si>
  <si>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</si>
  <si>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</si>
  <si>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</si>
  <si>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</si>
  <si>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</si>
  <si>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</si>
  <si>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</si>
  <si>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</si>
  <si>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</si>
  <si>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</si>
  <si>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</si>
  <si>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</si>
  <si>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</si>
  <si>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</si>
  <si>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</si>
  <si>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</si>
  <si>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</si>
  <si>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</si>
  <si>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</si>
  <si>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</si>
  <si>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</si>
  <si>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</si>
  <si>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</si>
  <si>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</si>
  <si>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</si>
  <si>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</si>
  <si>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</si>
  <si>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</si>
  <si>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</si>
  <si>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</si>
  <si>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</si>
  <si>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</si>
  <si>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</si>
  <si>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</si>
  <si>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</si>
  <si>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</si>
  <si>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</si>
  <si>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</si>
  <si>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</si>
  <si>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</si>
  <si>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</si>
  <si>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</si>
  <si>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</si>
  <si>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</si>
  <si>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</si>
  <si>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</si>
  <si>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</si>
  <si>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</si>
  <si>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</si>
  <si>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</si>
  <si>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</si>
  <si>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</si>
  <si>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</si>
  <si>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</si>
  <si>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</si>
  <si>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</si>
  <si>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</si>
  <si>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</si>
  <si>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</si>
  <si>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</si>
  <si>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</si>
  <si>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</si>
  <si>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</si>
  <si>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</si>
  <si>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</si>
  <si>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</si>
  <si>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</si>
  <si>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</si>
  <si>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</si>
  <si>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</si>
  <si>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</si>
  <si>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</si>
  <si>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</si>
  <si>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</si>
  <si>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</si>
  <si>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</si>
  <si>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</si>
  <si>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</si>
  <si>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</si>
  <si>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</si>
  <si>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</si>
  <si>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</si>
  <si>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</si>
  <si>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</si>
  <si>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</si>
  <si>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</si>
  <si>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</si>
  <si>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</si>
  <si>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</si>
  <si>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</si>
  <si>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</si>
  <si>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</si>
  <si>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</si>
  <si>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</si>
  <si>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</si>
  <si>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</si>
  <si>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</si>
  <si>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</si>
  <si>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</si>
  <si>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</si>
  <si>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</si>
  <si>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</si>
  <si>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</si>
  <si>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</si>
  <si>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</si>
  <si>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</si>
  <si>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</si>
  <si>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</si>
  <si>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</si>
  <si>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</si>
  <si>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</si>
  <si>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</si>
  <si>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</si>
  <si>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</si>
  <si>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</si>
  <si>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</si>
  <si>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</si>
  <si>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</si>
  <si>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</si>
  <si>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</si>
  <si>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</si>
  <si>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</si>
  <si>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</si>
  <si>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</si>
  <si>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</si>
  <si>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</si>
  <si>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</si>
  <si>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</si>
  <si>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</si>
  <si>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</si>
  <si>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</si>
  <si>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</si>
  <si>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</si>
  <si>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</si>
  <si>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</si>
  <si>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</si>
  <si>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</si>
  <si>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</si>
  <si>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</si>
  <si>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</si>
  <si>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</si>
  <si>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</si>
  <si>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</si>
  <si>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</si>
  <si>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</si>
  <si>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</si>
  <si>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</si>
  <si>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</si>
  <si>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</si>
  <si>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</si>
  <si>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</si>
  <si>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</si>
  <si>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</si>
  <si>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</si>
  <si>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</si>
  <si>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</si>
  <si>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</si>
  <si>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</si>
  <si>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</si>
  <si>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</si>
  <si>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</si>
  <si>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</si>
  <si>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</si>
  <si>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</si>
  <si>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</si>
  <si>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</si>
  <si>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</si>
  <si>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</si>
  <si>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</si>
  <si>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</si>
  <si>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</si>
  <si>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</si>
  <si>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</si>
  <si>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</si>
  <si>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</si>
  <si>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</si>
  <si>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</si>
  <si>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</si>
  <si>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</si>
  <si>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</si>
  <si>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</si>
  <si>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</si>
  <si>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</si>
  <si>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</si>
  <si>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</si>
  <si>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</si>
  <si>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</si>
  <si>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</si>
  <si>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</si>
  <si>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</si>
  <si>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</si>
  <si>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</si>
  <si>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</si>
  <si>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</si>
  <si>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</si>
  <si>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</si>
  <si>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</si>
  <si>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</si>
  <si>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</si>
  <si>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</si>
  <si>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</si>
  <si>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</si>
  <si>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</si>
  <si>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</si>
  <si>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</si>
  <si>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</si>
  <si>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</si>
  <si>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</si>
  <si>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</si>
  <si>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</si>
  <si>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</si>
  <si>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</si>
  <si>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</si>
  <si>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</si>
  <si>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</si>
  <si>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</si>
  <si>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</si>
  <si>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</si>
  <si>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</si>
  <si>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</si>
  <si>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</si>
  <si>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</si>
  <si>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</si>
  <si>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</si>
  <si>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</si>
  <si>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</si>
  <si>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</si>
  <si>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</si>
  <si>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</si>
  <si>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</si>
  <si>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</si>
  <si>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</si>
  <si>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</si>
  <si>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</si>
  <si>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</si>
  <si>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</si>
  <si>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</si>
  <si>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</si>
  <si>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</si>
  <si>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</si>
  <si>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</si>
  <si>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</si>
  <si>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</si>
  <si>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</si>
  <si>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</si>
  <si>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</si>
  <si>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</si>
  <si>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</si>
  <si>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</si>
  <si>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</si>
  <si>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</si>
  <si>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</si>
  <si>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</si>
  <si>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</si>
  <si>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</si>
  <si>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</si>
  <si>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</si>
  <si>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</si>
  <si>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</si>
  <si>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</si>
  <si>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</si>
  <si>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</si>
  <si>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</si>
  <si>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</si>
  <si>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</si>
  <si>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</si>
  <si>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</si>
  <si>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</si>
  <si>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</si>
  <si>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</si>
  <si>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</si>
  <si>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</si>
  <si>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</si>
  <si>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</si>
  <si>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</si>
  <si>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</si>
  <si>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</si>
  <si>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</si>
  <si>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</si>
  <si>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</si>
  <si>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</si>
  <si>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</si>
  <si>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</si>
  <si>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</si>
  <si>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</si>
  <si>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</si>
  <si>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</si>
  <si>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</si>
  <si>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</si>
  <si>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</si>
  <si>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</si>
  <si>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</si>
  <si>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</si>
  <si>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</si>
  <si>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</si>
  <si>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</si>
  <si>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</si>
  <si>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</si>
  <si>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</si>
  <si>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</si>
  <si>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</si>
  <si>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</si>
  <si>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</si>
  <si>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</si>
  <si>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</si>
  <si>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</si>
  <si>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</si>
  <si>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</si>
  <si>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</si>
  <si>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</si>
  <si>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</si>
  <si>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</si>
  <si>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</si>
  <si>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</si>
  <si>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</si>
  <si>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</si>
  <si>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</si>
  <si>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</si>
  <si>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</si>
  <si>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</si>
  <si>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</si>
  <si>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</si>
  <si>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</si>
  <si>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</si>
  <si>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</si>
  <si>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</si>
  <si>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</si>
  <si>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</si>
  <si>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</si>
  <si>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</si>
  <si>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</si>
  <si>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</si>
  <si>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</si>
  <si>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</si>
  <si>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</si>
  <si>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</si>
  <si>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</si>
  <si>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</si>
  <si>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</si>
  <si>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</si>
  <si>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</si>
  <si>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</si>
  <si>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</si>
  <si>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</si>
  <si>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</si>
  <si>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</si>
  <si>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</si>
  <si>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</si>
  <si>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</si>
  <si>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</si>
  <si>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</si>
  <si>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</si>
  <si>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</si>
  <si>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</si>
  <si>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</si>
  <si>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</si>
  <si>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</si>
  <si>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</si>
  <si>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</si>
  <si>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</si>
  <si>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</si>
  <si>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</si>
  <si>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</si>
  <si>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</si>
  <si>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</si>
  <si>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</si>
  <si>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</si>
  <si>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</si>
  <si>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</si>
  <si>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</si>
  <si>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</si>
  <si>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</si>
  <si>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</si>
  <si>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</si>
  <si>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</si>
  <si>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</si>
  <si>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</si>
  <si>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</si>
  <si>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</si>
  <si>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</si>
  <si>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</si>
  <si>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</si>
  <si>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</si>
  <si>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</si>
  <si>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</si>
  <si>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</si>
  <si>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</si>
  <si>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</si>
  <si>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</si>
  <si>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</si>
  <si>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</si>
  <si>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</si>
  <si>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</si>
  <si>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</si>
  <si>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</si>
  <si>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</si>
  <si>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</si>
  <si>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</si>
  <si>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</si>
  <si>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</si>
  <si>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</si>
  <si>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</si>
  <si>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</si>
  <si>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</si>
  <si>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</si>
  <si>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</si>
  <si>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</si>
  <si>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</si>
  <si>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</si>
  <si>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</si>
  <si>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</si>
  <si>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</si>
  <si>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</si>
  <si>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</si>
  <si>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</si>
  <si>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</si>
  <si>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</si>
  <si>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</si>
  <si>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</si>
  <si>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</si>
  <si>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</si>
  <si>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</si>
  <si>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</si>
  <si>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</si>
  <si>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</si>
  <si>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</si>
  <si>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</si>
  <si>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</si>
  <si>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</si>
  <si>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</si>
  <si>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</si>
  <si>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</si>
  <si>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</si>
  <si>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</si>
  <si>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</si>
  <si>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</si>
  <si>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</si>
  <si>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</si>
  <si>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</si>
  <si>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</si>
  <si>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</si>
  <si>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</si>
  <si>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</si>
  <si>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</si>
  <si>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</si>
  <si>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</si>
  <si>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</si>
  <si>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</si>
  <si>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</si>
  <si>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</si>
  <si>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</si>
  <si>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</si>
  <si>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</si>
  <si>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</si>
  <si>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</si>
  <si>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</si>
  <si>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</si>
  <si>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</si>
  <si>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</si>
  <si>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</si>
  <si>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</si>
  <si>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</si>
  <si>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</si>
  <si>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</si>
  <si>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</si>
  <si>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</si>
  <si>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</si>
  <si>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</si>
  <si>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</si>
  <si>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</si>
  <si>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</si>
  <si>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</si>
  <si>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</si>
  <si>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</si>
  <si>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</si>
  <si>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</si>
  <si>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</si>
  <si>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</si>
  <si>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</si>
  <si>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</si>
  <si>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</si>
  <si>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</si>
  <si>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</si>
  <si>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</si>
  <si>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</si>
  <si>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</si>
  <si>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</si>
  <si>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</si>
  <si>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</si>
  <si>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</si>
  <si>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</si>
  <si>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</si>
  <si>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</si>
  <si>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</si>
  <si>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</si>
  <si>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</si>
  <si>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</si>
  <si>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</si>
  <si>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</si>
  <si>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</si>
  <si>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</si>
  <si>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</si>
  <si>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</si>
  <si>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</si>
  <si>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</si>
  <si>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</si>
  <si>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</si>
  <si>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</si>
  <si>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</si>
  <si>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</si>
  <si>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</si>
  <si>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</si>
  <si>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</si>
  <si>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</si>
  <si>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</si>
  <si>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</si>
  <si>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</si>
  <si>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</si>
  <si>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</si>
  <si>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</si>
  <si>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</si>
  <si>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</si>
  <si>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</si>
  <si>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</si>
  <si>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</si>
  <si>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</si>
  <si>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</si>
  <si>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</si>
  <si>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</si>
  <si>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</si>
  <si>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</si>
  <si>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</si>
  <si>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</si>
  <si>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</si>
  <si>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</si>
  <si>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</si>
  <si>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</si>
  <si>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</si>
  <si>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</si>
  <si>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</si>
  <si>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</si>
  <si>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</si>
  <si>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</si>
  <si>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</si>
  <si>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</si>
  <si>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</si>
  <si>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</si>
  <si>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</si>
  <si>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</si>
  <si>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</si>
  <si>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</si>
  <si>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</si>
  <si>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</si>
  <si>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</si>
  <si>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</si>
  <si>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</si>
  <si>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</si>
  <si>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</si>
  <si>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</si>
  <si>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</si>
  <si>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</si>
  <si>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</si>
  <si>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</si>
  <si>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</si>
  <si>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</si>
  <si>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</si>
  <si>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</si>
  <si>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</si>
  <si>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</si>
  <si>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</si>
  <si>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</si>
  <si>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</si>
  <si>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</si>
  <si>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</si>
  <si>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</si>
  <si>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</si>
  <si>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</si>
  <si>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</si>
  <si>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</si>
  <si>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</si>
  <si>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</si>
  <si>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</si>
  <si>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</si>
  <si>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</si>
  <si>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</si>
  <si>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</si>
  <si>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</si>
  <si>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</si>
  <si>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</si>
  <si>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</si>
  <si>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</si>
  <si>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</si>
  <si>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</si>
  <si>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</si>
  <si>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</si>
  <si>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</si>
  <si>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</si>
  <si>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</si>
  <si>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</si>
  <si>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</si>
  <si>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</si>
  <si>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</si>
  <si>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</si>
  <si>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</si>
  <si>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</si>
  <si>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</si>
  <si>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</si>
  <si>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</si>
  <si>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</si>
  <si>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</si>
  <si>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</si>
  <si>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</si>
  <si>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</si>
  <si>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</si>
  <si>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</si>
  <si>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</si>
  <si>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</si>
  <si>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</si>
  <si>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</si>
  <si>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</si>
  <si>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</si>
  <si>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</si>
  <si>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</si>
  <si>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</si>
  <si>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</si>
  <si>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</si>
  <si>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</si>
  <si>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</si>
  <si>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</si>
  <si>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</si>
  <si>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</si>
  <si>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</si>
  <si>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</si>
  <si>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</si>
  <si>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</si>
  <si>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</si>
  <si>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</si>
  <si>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</si>
  <si>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</si>
  <si>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</si>
  <si>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</si>
  <si>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</si>
  <si>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</si>
  <si>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</si>
  <si>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</si>
  <si>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</si>
  <si>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</si>
  <si>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</si>
  <si>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</si>
  <si>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</si>
  <si>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</si>
  <si>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</si>
  <si>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</si>
  <si>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</si>
  <si>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</si>
  <si>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</si>
  <si>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</si>
  <si>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</si>
  <si>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</si>
  <si>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</si>
  <si>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</si>
  <si>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</si>
  <si>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</si>
  <si>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</si>
  <si>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</si>
  <si>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</si>
  <si>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</si>
  <si>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</si>
  <si>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</si>
  <si>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</si>
  <si>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</si>
  <si>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</si>
  <si>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</si>
  <si>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</si>
  <si>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</si>
  <si>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</si>
  <si>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</si>
  <si>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</si>
  <si>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</si>
  <si>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</si>
  <si>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</si>
  <si>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</si>
  <si>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</si>
  <si>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</si>
  <si>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</si>
  <si>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</si>
  <si>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</si>
  <si>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</si>
  <si>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</si>
  <si>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</si>
  <si>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</si>
  <si>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</si>
  <si>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</si>
  <si>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</si>
  <si>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</si>
  <si>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</si>
  <si>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</si>
  <si>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</si>
  <si>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</si>
  <si>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</si>
  <si>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</si>
  <si>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</si>
  <si>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</si>
  <si>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</si>
  <si>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</si>
  <si>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</si>
  <si>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</si>
  <si>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</si>
  <si>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</si>
  <si>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</si>
  <si>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</si>
  <si>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</si>
  <si>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</si>
  <si>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</si>
  <si>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</si>
  <si>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</si>
  <si>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</si>
  <si>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</si>
  <si>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</si>
  <si>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</si>
  <si>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</si>
  <si>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</si>
  <si>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</si>
  <si>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</si>
  <si>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</si>
  <si>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</si>
  <si>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</si>
  <si>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</si>
  <si>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</si>
  <si>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</si>
  <si>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</si>
  <si>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</si>
  <si>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</si>
  <si>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</si>
  <si>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</si>
  <si>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</si>
  <si>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</si>
  <si>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</si>
  <si>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</si>
  <si>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</si>
  <si>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</si>
  <si>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</si>
  <si>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</si>
  <si>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</si>
  <si>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</si>
  <si>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</si>
  <si>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</si>
  <si>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</si>
  <si>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</si>
  <si>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</si>
  <si>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</si>
  <si>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</si>
  <si>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</si>
  <si>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</si>
  <si>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</si>
  <si>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</si>
  <si>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</si>
  <si>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</si>
  <si>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</si>
  <si>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</si>
  <si>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</si>
  <si>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</si>
  <si>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</si>
  <si>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</si>
  <si>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</si>
  <si>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</si>
  <si>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</si>
  <si>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</si>
  <si>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</si>
  <si>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</si>
  <si>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</si>
  <si>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</si>
  <si>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</si>
  <si>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</si>
  <si>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</si>
  <si>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</si>
  <si>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</si>
  <si>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</si>
  <si>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</si>
  <si>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</si>
  <si>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</si>
  <si>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</si>
  <si>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</si>
  <si>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</si>
  <si>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</si>
  <si>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</si>
  <si>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</si>
  <si>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</si>
  <si>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</si>
  <si>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</si>
  <si>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</si>
  <si>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</si>
  <si>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</si>
  <si>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</si>
  <si>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</si>
  <si>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</si>
  <si>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</si>
  <si>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</si>
  <si>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</si>
  <si>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</si>
  <si>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</si>
  <si>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</si>
  <si>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</si>
  <si>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</si>
  <si>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</si>
  <si>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</si>
  <si>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</si>
  <si>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</si>
  <si>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</si>
  <si>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</si>
  <si>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</si>
  <si>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</si>
  <si>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</si>
  <si>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</si>
  <si>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</si>
  <si>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</si>
  <si>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</si>
  <si>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</si>
  <si>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</si>
  <si>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</si>
  <si>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</si>
  <si>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</si>
  <si>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</si>
  <si>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</si>
  <si>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</si>
  <si>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</si>
  <si>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</si>
  <si>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</si>
  <si>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</si>
  <si>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</si>
  <si>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</si>
  <si>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</si>
  <si>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</si>
  <si>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</si>
  <si>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</si>
  <si>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</si>
  <si>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</si>
  <si>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</si>
  <si>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</si>
  <si>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</si>
  <si>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</si>
  <si>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</si>
  <si>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</si>
  <si>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</si>
  <si>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</si>
  <si>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</si>
  <si>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</si>
  <si>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</si>
  <si>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</si>
  <si>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</si>
  <si>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</si>
  <si>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</si>
  <si>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</si>
  <si>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</si>
  <si>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</si>
  <si>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</si>
  <si>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</si>
  <si>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</si>
  <si>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</si>
  <si>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</si>
  <si>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</si>
  <si>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</si>
  <si>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</si>
  <si>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</si>
  <si>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</si>
  <si>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</si>
  <si>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</si>
  <si>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</si>
  <si>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</si>
  <si>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</si>
  <si>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</si>
  <si>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</si>
  <si>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</si>
  <si>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</si>
  <si>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</si>
  <si>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</si>
  <si>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</si>
  <si>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</si>
  <si>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</si>
  <si>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</si>
  <si>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</si>
  <si>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</si>
  <si>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</si>
  <si>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</si>
  <si>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</si>
  <si>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</si>
  <si>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</si>
  <si>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</si>
  <si>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</si>
  <si>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</si>
  <si>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</si>
  <si>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</si>
  <si>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</si>
  <si>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</si>
  <si>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</si>
  <si>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</si>
  <si>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</si>
  <si>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</si>
  <si>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</si>
  <si>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</si>
  <si>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</si>
  <si>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</si>
  <si>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</si>
  <si>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</si>
  <si>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</si>
  <si>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</si>
  <si>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</si>
  <si>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</si>
  <si>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</si>
  <si>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</si>
  <si>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</si>
  <si>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</si>
  <si>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</si>
  <si>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</si>
  <si>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</si>
  <si>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</si>
  <si>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</si>
  <si>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</si>
  <si>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</si>
  <si>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</si>
  <si>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</si>
  <si>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</si>
  <si>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</si>
  <si>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</si>
  <si>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</si>
  <si>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</si>
  <si>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</si>
  <si>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</si>
  <si>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</si>
  <si>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</si>
  <si>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</si>
  <si>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</si>
  <si>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</si>
  <si>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</si>
  <si>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</si>
  <si>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</si>
  <si>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</si>
  <si>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</si>
  <si>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</si>
  <si>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</si>
  <si>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</si>
  <si>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</si>
  <si>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</si>
  <si>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</si>
  <si>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</si>
  <si>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</si>
  <si>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</si>
  <si>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</si>
  <si>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</si>
  <si>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</si>
  <si>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</si>
  <si>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</si>
  <si>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</si>
  <si>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</si>
  <si>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</si>
  <si>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</si>
  <si>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</si>
  <si>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</si>
  <si>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</si>
  <si>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</si>
  <si>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</si>
  <si>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</si>
  <si>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</si>
  <si>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</si>
  <si>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</si>
  <si>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</si>
  <si>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</si>
  <si>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</si>
  <si>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</si>
  <si>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</si>
  <si>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</si>
  <si>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</si>
  <si>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</si>
  <si>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</si>
  <si>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</si>
  <si>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</si>
  <si>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</si>
  <si>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</si>
  <si>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</si>
  <si>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</si>
  <si>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</si>
  <si>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</si>
  <si>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</si>
  <si>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</si>
  <si>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</si>
  <si>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</si>
  <si>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</si>
  <si>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</si>
  <si>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</si>
  <si>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</si>
  <si>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</si>
  <si>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</si>
  <si>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</si>
  <si>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</si>
  <si>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</si>
  <si>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</si>
  <si>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</si>
  <si>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</si>
  <si>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</si>
  <si>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</si>
  <si>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</si>
  <si>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</si>
  <si>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</si>
  <si>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</si>
  <si>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</si>
  <si>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</si>
  <si>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</si>
  <si>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</si>
  <si>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</si>
  <si>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</si>
  <si>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</si>
  <si>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</si>
  <si>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</si>
  <si>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</si>
  <si>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</si>
  <si>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</si>
  <si>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</si>
  <si>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</si>
  <si>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</si>
  <si>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</si>
  <si>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</si>
  <si>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</si>
  <si>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</si>
  <si>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</si>
  <si>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</si>
  <si>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</si>
  <si>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</si>
  <si>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</si>
  <si>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</si>
  <si>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</si>
  <si>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</si>
  <si>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</si>
  <si>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</si>
  <si>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</si>
  <si>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</si>
  <si>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</si>
  <si>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</si>
  <si>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</si>
  <si>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</si>
  <si>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</si>
  <si>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</si>
  <si>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</si>
  <si>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</si>
  <si>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</si>
  <si>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</si>
  <si>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</si>
  <si>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</si>
  <si>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</si>
  <si>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</si>
  <si>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</si>
  <si>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</si>
  <si>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</si>
  <si>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</si>
  <si>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</si>
  <si>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</si>
  <si>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</si>
  <si>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</si>
  <si>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</si>
  <si>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</si>
  <si>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</si>
  <si>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</si>
  <si>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</si>
  <si>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</si>
  <si>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</si>
  <si>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</si>
  <si>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</si>
  <si>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</si>
  <si>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</si>
  <si>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</si>
  <si>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</si>
  <si>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</si>
  <si>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</si>
  <si>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</si>
  <si>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</si>
  <si>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</si>
  <si>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</si>
  <si>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</si>
  <si>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</si>
  <si>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</si>
  <si>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</si>
  <si>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</si>
  <si>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</si>
  <si>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</si>
  <si>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</si>
  <si>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</si>
  <si>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</si>
  <si>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</si>
  <si>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</si>
  <si>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</si>
  <si>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</si>
  <si>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</si>
  <si>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</si>
  <si>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</si>
  <si>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</si>
  <si>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</si>
  <si>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</si>
  <si>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</si>
  <si>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</si>
  <si>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</si>
  <si>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</si>
  <si>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</si>
  <si>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</si>
  <si>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</si>
  <si>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</si>
  <si>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</si>
  <si>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</si>
  <si>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</si>
  <si>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</si>
  <si>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</si>
  <si>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</si>
  <si>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</si>
  <si>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</si>
  <si>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</si>
  <si>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</si>
  <si>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</si>
  <si>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</si>
  <si>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</si>
  <si>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</si>
  <si>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</si>
  <si>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</si>
  <si>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</si>
  <si>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</si>
  <si>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</si>
  <si>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</si>
  <si>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</si>
  <si>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</si>
  <si>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</si>
  <si>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</si>
  <si>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</si>
  <si>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</si>
  <si>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</si>
  <si>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</si>
  <si>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</si>
  <si>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</si>
  <si>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</si>
  <si>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</si>
  <si>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</si>
  <si>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</si>
  <si>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</si>
  <si>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</si>
  <si>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</si>
  <si>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</si>
  <si>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</si>
  <si>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</si>
  <si>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</si>
  <si>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</si>
  <si>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</si>
  <si>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</si>
  <si>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</si>
  <si>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</si>
  <si>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</si>
  <si>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</si>
  <si>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</si>
  <si>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</si>
  <si>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</si>
  <si>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</si>
  <si>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</si>
  <si>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</si>
  <si>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</si>
  <si>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</si>
  <si>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</si>
  <si>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</si>
  <si>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</si>
  <si>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</si>
  <si>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</si>
  <si>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</si>
  <si>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</si>
  <si>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</si>
  <si>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</si>
  <si>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</si>
  <si>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</si>
  <si>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</si>
  <si>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</si>
  <si>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</si>
  <si>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</si>
  <si>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</si>
  <si>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</si>
  <si>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</si>
  <si>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</si>
  <si>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</si>
  <si>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</si>
  <si>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</si>
  <si>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</si>
  <si>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</si>
  <si>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</si>
  <si>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</si>
  <si>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</si>
  <si>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</si>
  <si>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</si>
  <si>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</si>
  <si>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</si>
  <si>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</si>
  <si>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</si>
  <si>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</si>
  <si>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</si>
  <si>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</si>
  <si>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</si>
  <si>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</si>
  <si>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</si>
  <si>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</si>
  <si>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</si>
  <si>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</si>
  <si>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</si>
  <si>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</si>
  <si>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</si>
  <si>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</si>
  <si>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</si>
  <si>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</si>
  <si>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</si>
  <si>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</si>
  <si>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</si>
  <si>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</si>
  <si>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</si>
  <si>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</si>
  <si>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</si>
  <si>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</si>
  <si>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</si>
  <si>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</si>
  <si>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</si>
  <si>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</si>
  <si>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</si>
  <si>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</si>
  <si>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</si>
  <si>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</si>
  <si>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</si>
  <si>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</si>
  <si>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</si>
  <si>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</si>
  <si>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</si>
  <si>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</si>
  <si>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</si>
  <si>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</si>
  <si>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</si>
  <si>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</si>
  <si>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</si>
  <si>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</si>
  <si>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</si>
  <si>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</si>
  <si>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</si>
  <si>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</si>
  <si>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</si>
  <si>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</si>
  <si>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</si>
  <si>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</si>
  <si>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</si>
  <si>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</si>
  <si>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</si>
  <si>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</si>
  <si>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</si>
  <si>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</si>
  <si>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</si>
  <si>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</si>
  <si>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</si>
  <si>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</si>
  <si>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</si>
  <si>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</si>
  <si>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</si>
  <si>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</si>
  <si>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</si>
  <si>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</si>
  <si>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</si>
  <si>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</si>
  <si>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</si>
  <si>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</si>
  <si>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</si>
  <si>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</si>
  <si>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</si>
  <si>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</si>
  <si>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</si>
  <si>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</si>
  <si>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</si>
  <si>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</si>
  <si>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</si>
  <si>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</si>
  <si>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</si>
  <si>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</si>
  <si>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</si>
  <si>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</si>
  <si>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</si>
  <si>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</si>
  <si>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</si>
  <si>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</si>
  <si>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</si>
  <si>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</si>
  <si>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</si>
  <si>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</si>
  <si>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</si>
  <si>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</si>
  <si>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</si>
  <si>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</si>
  <si>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</si>
  <si>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</si>
  <si>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</si>
  <si>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</si>
  <si>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</si>
  <si>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</si>
  <si>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</si>
  <si>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</si>
  <si>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</si>
  <si>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</si>
  <si>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</si>
  <si>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</si>
  <si>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</si>
  <si>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</si>
  <si>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</si>
  <si>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</si>
  <si>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</si>
  <si>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</si>
  <si>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</si>
  <si>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</si>
  <si>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</si>
  <si>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</si>
  <si>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</si>
  <si>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</si>
  <si>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</si>
  <si>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</si>
  <si>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</si>
  <si>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</si>
  <si>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</si>
  <si>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</si>
  <si>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</si>
  <si>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</si>
  <si>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</si>
  <si>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</si>
  <si>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</si>
  <si>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</si>
  <si>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</si>
  <si>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</si>
  <si>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</si>
  <si>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</si>
  <si>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</si>
  <si>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</si>
  <si>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</si>
  <si>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</si>
  <si>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</si>
  <si>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</si>
  <si>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</si>
  <si>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</si>
  <si>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</si>
  <si>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</si>
  <si>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</si>
  <si>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</si>
  <si>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</si>
  <si>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</si>
  <si>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</si>
  <si>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</si>
  <si>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</si>
  <si>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</si>
  <si>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</si>
  <si>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</si>
  <si>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</si>
  <si>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</si>
  <si>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</si>
  <si>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</si>
  <si>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</si>
  <si>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</si>
  <si>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</si>
  <si>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</si>
  <si>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</si>
  <si>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</si>
  <si>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</si>
  <si>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</si>
  <si>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</si>
  <si>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</si>
  <si>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</si>
  <si>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</si>
  <si>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</si>
  <si>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</si>
  <si>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</si>
  <si>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</si>
  <si>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</si>
  <si>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</si>
  <si>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</si>
  <si>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</si>
  <si>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</si>
  <si>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</si>
  <si>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</si>
  <si>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</si>
  <si>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</si>
  <si>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</si>
  <si>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</si>
  <si>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</si>
  <si>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</si>
  <si>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</si>
  <si>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</si>
  <si>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</si>
  <si>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</si>
  <si>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</si>
  <si>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</si>
  <si>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</si>
  <si>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</si>
  <si>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</si>
  <si>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</si>
  <si>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</si>
  <si>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</si>
  <si>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</si>
  <si>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</si>
  <si>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</si>
  <si>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</si>
  <si>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</si>
  <si>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</si>
  <si>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</si>
  <si>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</si>
  <si>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</si>
  <si>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</si>
  <si>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</si>
  <si>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</si>
  <si>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</si>
  <si>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</si>
  <si>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</si>
  <si>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</si>
  <si>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</si>
  <si>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</si>
  <si>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</si>
  <si>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</si>
  <si>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</si>
  <si>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</si>
  <si>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</si>
  <si>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</si>
  <si>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</si>
  <si>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</si>
  <si>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</si>
  <si>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</si>
  <si>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</si>
  <si>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</si>
  <si>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</si>
  <si>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</si>
  <si>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</si>
  <si>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</si>
  <si>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</si>
  <si>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</si>
  <si>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</si>
  <si>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</si>
  <si>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</si>
  <si>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</si>
  <si>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</si>
  <si>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</si>
  <si>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</si>
  <si>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</si>
  <si>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</si>
  <si>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</si>
  <si>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</si>
  <si>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</si>
  <si>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</si>
  <si>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</si>
  <si>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</si>
  <si>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</si>
  <si>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</si>
  <si>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</si>
  <si>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</si>
  <si>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</si>
  <si>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</si>
  <si>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</si>
  <si>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</si>
  <si>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</si>
  <si>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</si>
  <si>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</si>
  <si>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</si>
  <si>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</si>
  <si>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</si>
  <si>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</si>
  <si>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</si>
  <si>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</si>
  <si>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</si>
  <si>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</si>
  <si>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</si>
  <si>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</si>
  <si>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</si>
  <si>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</si>
  <si>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</si>
  <si>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</si>
  <si>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</si>
  <si>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</si>
  <si>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</si>
  <si>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</si>
  <si>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</si>
  <si>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</si>
  <si>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</si>
  <si>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</si>
  <si>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</si>
  <si>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</si>
  <si>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</si>
  <si>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</si>
  <si>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</si>
  <si>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</si>
  <si>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</si>
  <si>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</si>
  <si>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</si>
  <si>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</si>
  <si>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</si>
  <si>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</si>
  <si>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</si>
  <si>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</si>
  <si>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</si>
  <si>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</si>
  <si>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</si>
  <si>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</si>
  <si>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</si>
  <si>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</si>
  <si>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</si>
  <si>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</si>
  <si>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</si>
  <si>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</si>
  <si>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</si>
  <si>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</si>
  <si>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</si>
  <si>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</si>
  <si>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</si>
  <si>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</si>
  <si>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</si>
  <si>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</si>
  <si>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</si>
  <si>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</si>
  <si>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</si>
  <si>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</si>
  <si>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</si>
  <si>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</si>
  <si>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</si>
  <si>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</si>
  <si>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</si>
  <si>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</si>
  <si>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</si>
  <si>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</si>
  <si>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</si>
  <si>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</si>
  <si>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</si>
  <si>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</si>
  <si>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</si>
  <si>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</si>
  <si>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</si>
  <si>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</si>
  <si>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</si>
  <si>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</si>
  <si>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</si>
  <si>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</si>
  <si>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</si>
  <si>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</si>
  <si>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</si>
  <si>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</si>
  <si>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</si>
  <si>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</si>
  <si>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</si>
  <si>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</si>
  <si>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</si>
  <si>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</si>
  <si>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</si>
  <si>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</si>
  <si>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</si>
  <si>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</si>
  <si>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</si>
  <si>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</si>
  <si>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</si>
  <si>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</si>
  <si>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</si>
  <si>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</si>
  <si>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</si>
  <si>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</si>
  <si>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</si>
  <si>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</si>
  <si>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</si>
  <si>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</si>
  <si>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</si>
  <si>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</si>
  <si>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</si>
  <si>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</si>
  <si>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</si>
  <si>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</si>
  <si>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</si>
  <si>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</si>
  <si>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</si>
  <si>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</si>
  <si>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</si>
  <si>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</si>
  <si>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</si>
  <si>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</si>
  <si>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</si>
  <si>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</si>
  <si>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</si>
  <si>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</si>
  <si>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</si>
  <si>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</si>
  <si>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</si>
  <si>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</si>
  <si>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</si>
  <si>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</si>
  <si>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</si>
  <si>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</si>
  <si>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</si>
  <si>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</si>
  <si>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</si>
  <si>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</si>
  <si>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</si>
  <si>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</si>
  <si>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</si>
  <si>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</si>
  <si>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</si>
  <si>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</si>
  <si>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</si>
  <si>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</si>
  <si>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</si>
  <si>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</si>
  <si>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</si>
  <si>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</si>
  <si>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</si>
  <si>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</si>
  <si>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</si>
  <si>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</si>
  <si>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</si>
  <si>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</si>
  <si>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</si>
  <si>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</si>
  <si>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</si>
  <si>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</si>
  <si>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</si>
  <si>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</si>
  <si>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</si>
  <si>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</si>
  <si>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</si>
  <si>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</si>
  <si>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</si>
  <si>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</si>
  <si>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</si>
  <si>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</si>
  <si>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</si>
  <si>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</si>
  <si>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</si>
  <si>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</si>
  <si>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</si>
  <si>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</si>
  <si>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</si>
  <si>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</si>
  <si>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</si>
  <si>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</si>
  <si>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</si>
  <si>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</si>
  <si>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</si>
  <si>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</si>
  <si>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</si>
  <si>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</si>
  <si>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</si>
  <si>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</si>
  <si>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</si>
  <si>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</si>
  <si>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</si>
  <si>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</si>
  <si>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</si>
  <si>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</si>
  <si>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</si>
  <si>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</si>
  <si>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</si>
  <si>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</si>
  <si>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</si>
  <si>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</si>
  <si>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</si>
  <si>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</si>
  <si>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</si>
  <si>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</si>
  <si>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</si>
  <si>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</si>
  <si>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</si>
  <si>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</si>
  <si>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</si>
  <si>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</si>
  <si>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</si>
  <si>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</si>
  <si>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</si>
  <si>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</si>
  <si>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</si>
  <si>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</si>
  <si>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</si>
  <si>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</si>
  <si>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</si>
  <si>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</si>
  <si>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</si>
  <si>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</si>
  <si>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</si>
  <si>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</si>
  <si>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</si>
  <si>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</si>
  <si>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</si>
  <si>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</si>
  <si>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</si>
  <si>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</si>
  <si>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</si>
  <si>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</si>
  <si>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</si>
  <si>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</si>
  <si>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</si>
  <si>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</si>
  <si>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</si>
  <si>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</si>
  <si>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</si>
  <si>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</si>
  <si>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</si>
  <si>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</si>
  <si>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</si>
  <si>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</si>
  <si>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</si>
  <si>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</si>
  <si>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</si>
  <si>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</si>
  <si>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</si>
  <si>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</si>
  <si>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</si>
  <si>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</si>
  <si>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</si>
  <si>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</si>
  <si>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</si>
  <si>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</si>
  <si>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</si>
  <si>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</si>
  <si>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</si>
  <si>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</si>
  <si>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</si>
  <si>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</si>
  <si>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</si>
  <si>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</si>
  <si>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</si>
  <si>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</si>
  <si>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</si>
  <si>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</si>
  <si>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</si>
  <si>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</si>
  <si>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</si>
  <si>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</si>
  <si>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</si>
  <si>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</si>
  <si>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</si>
  <si>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</si>
  <si>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</si>
  <si>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</si>
  <si>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</si>
  <si>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</si>
  <si>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</si>
  <si>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</si>
  <si>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</si>
  <si>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</si>
  <si>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</si>
  <si>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</si>
  <si>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</si>
  <si>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</si>
  <si>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</si>
  <si>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</si>
  <si>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</si>
  <si>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</si>
  <si>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</si>
  <si>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</si>
  <si>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</si>
  <si>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</si>
  <si>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</si>
  <si>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</si>
  <si>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</si>
  <si>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</si>
  <si>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</si>
  <si>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</si>
  <si>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</si>
  <si>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</si>
  <si>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</si>
  <si>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</si>
  <si>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</si>
  <si>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</si>
  <si>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</si>
  <si>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</si>
  <si>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</si>
  <si>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</si>
  <si>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</si>
  <si>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</si>
  <si>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</si>
  <si>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</si>
  <si>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</si>
  <si>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</si>
  <si>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</si>
  <si>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</si>
  <si>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</si>
  <si>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</si>
  <si>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</si>
  <si>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</si>
  <si>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</si>
  <si>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</si>
  <si>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</si>
  <si>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</si>
  <si>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</si>
  <si>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</si>
  <si>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</si>
  <si>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</si>
  <si>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</si>
  <si>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</si>
  <si>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</si>
  <si>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</si>
  <si>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</si>
  <si>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</si>
  <si>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</si>
  <si>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</si>
  <si>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</si>
  <si>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</si>
  <si>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</si>
  <si>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</si>
  <si>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</si>
  <si>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</si>
  <si>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</si>
  <si>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</si>
  <si>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</si>
  <si>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</si>
  <si>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</si>
  <si>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</si>
  <si>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</si>
  <si>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</si>
  <si>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</si>
  <si>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</si>
  <si>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</si>
  <si>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</si>
  <si>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</si>
  <si>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</si>
  <si>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</si>
  <si>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</si>
  <si>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</si>
  <si>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</si>
  <si>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</si>
  <si>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</si>
  <si>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</si>
  <si>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</si>
  <si>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</si>
  <si>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</si>
  <si>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</si>
  <si>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</si>
  <si>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</si>
  <si>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</si>
  <si>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</si>
  <si>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</si>
  <si>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</si>
  <si>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</si>
  <si>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</si>
  <si>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</si>
  <si>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</si>
  <si>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</si>
  <si>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</si>
  <si>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</si>
  <si>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</si>
  <si>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</si>
  <si>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</si>
  <si>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</si>
  <si>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</si>
  <si>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</si>
  <si>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</si>
  <si>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</si>
  <si>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</si>
  <si>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</si>
  <si>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</si>
  <si>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</si>
  <si>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</si>
  <si>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</si>
  <si>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</si>
  <si>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</si>
  <si>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</si>
  <si>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</si>
  <si>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</si>
  <si>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</si>
  <si>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</si>
  <si>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</si>
  <si>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</si>
  <si>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</si>
  <si>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</si>
  <si>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</si>
  <si>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</si>
  <si>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</si>
  <si>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</si>
  <si>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</si>
  <si>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</si>
  <si>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</si>
  <si>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</si>
  <si>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</si>
  <si>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</si>
  <si>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</si>
  <si>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</si>
  <si>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</si>
  <si>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</si>
  <si>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</si>
  <si>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</si>
  <si>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</si>
  <si>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</si>
  <si>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</si>
  <si>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</si>
  <si>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</si>
  <si>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</si>
  <si>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</si>
  <si>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</si>
  <si>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</si>
  <si>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</si>
  <si>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</si>
  <si>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</si>
  <si>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</si>
  <si>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</si>
  <si>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</si>
  <si>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</si>
  <si>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</si>
  <si>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</si>
  <si>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</si>
  <si>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</si>
  <si>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</si>
  <si>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</si>
  <si>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</si>
  <si>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</si>
  <si>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</si>
  <si>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</si>
  <si>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</si>
  <si>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</si>
  <si>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</si>
  <si>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</si>
  <si>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</si>
  <si>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</si>
  <si>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</si>
  <si>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</si>
  <si>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</si>
  <si>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</si>
  <si>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</si>
  <si>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</si>
  <si>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</si>
  <si>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</si>
  <si>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</si>
  <si>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</si>
  <si>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</si>
  <si>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</si>
  <si>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</si>
  <si>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</si>
  <si>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</si>
  <si>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</si>
  <si>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</si>
  <si>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</si>
  <si>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</si>
  <si>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</si>
  <si>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</si>
  <si>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</si>
  <si>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</si>
  <si>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</si>
  <si>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</si>
  <si>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</si>
  <si>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</si>
  <si>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</si>
  <si>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</si>
  <si>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</si>
  <si>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</si>
  <si>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</si>
  <si>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</si>
  <si>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</si>
  <si>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</si>
  <si>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</si>
  <si>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</si>
  <si>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</si>
  <si>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</si>
  <si>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</si>
  <si>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</si>
  <si>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</si>
  <si>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</si>
  <si>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</si>
  <si>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</si>
  <si>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</si>
  <si>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</si>
  <si>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</si>
  <si>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</si>
  <si>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</si>
  <si>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</si>
  <si>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</si>
  <si>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</si>
  <si>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</si>
  <si>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</si>
  <si>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</si>
  <si>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</si>
  <si>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</si>
  <si>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</si>
  <si>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</si>
  <si>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</si>
  <si>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</si>
  <si>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</si>
  <si>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</si>
  <si>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</si>
  <si>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</si>
  <si>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</si>
  <si>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</si>
  <si>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</si>
  <si>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</si>
  <si>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</si>
  <si>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</si>
  <si>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</si>
  <si>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</si>
  <si>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</si>
  <si>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</si>
  <si>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</si>
  <si>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</si>
  <si>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</si>
  <si>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</si>
  <si>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</si>
  <si>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</si>
  <si>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</si>
  <si>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</si>
  <si>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</si>
  <si>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</si>
  <si>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</si>
  <si>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</si>
  <si>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</si>
  <si>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</si>
  <si>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</si>
  <si>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</si>
  <si>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</si>
  <si>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</si>
  <si>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</si>
  <si>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</si>
  <si>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</si>
  <si>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</si>
  <si>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</si>
  <si>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</si>
  <si>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</si>
  <si>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</si>
  <si>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</si>
  <si>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</si>
  <si>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</si>
  <si>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</si>
  <si>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</si>
  <si>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</si>
  <si>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</si>
  <si>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</si>
  <si>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</si>
  <si>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</si>
  <si>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</si>
  <si>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</si>
  <si>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</si>
  <si>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</si>
  <si>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</si>
  <si>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</si>
  <si>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</si>
  <si>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</si>
  <si>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</si>
  <si>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</si>
  <si>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</si>
  <si>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</si>
  <si>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</si>
  <si>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</si>
  <si>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</si>
  <si>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</si>
  <si>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</si>
  <si>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</si>
  <si>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</si>
  <si>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</si>
  <si>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</si>
  <si>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</si>
  <si>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</si>
  <si>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</si>
  <si>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</si>
  <si>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</si>
  <si>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</si>
  <si>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</si>
  <si>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</si>
  <si>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</si>
  <si>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</si>
  <si>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</si>
  <si>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</si>
  <si>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</si>
  <si>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</si>
  <si>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</si>
  <si>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</si>
  <si>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</si>
  <si>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</si>
  <si>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</si>
  <si>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</si>
  <si>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</si>
  <si>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</si>
  <si>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</si>
  <si>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</si>
  <si>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</si>
  <si>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</si>
  <si>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</si>
  <si>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</si>
  <si>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</si>
  <si>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</si>
  <si>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</si>
  <si>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</si>
  <si>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</si>
  <si>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</si>
  <si>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</si>
  <si>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</si>
  <si>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</si>
  <si>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</si>
  <si>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</si>
  <si>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</si>
  <si>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</si>
  <si>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</si>
  <si>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</si>
  <si>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</si>
  <si>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</si>
  <si>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</si>
  <si>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</si>
  <si>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</si>
  <si>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</si>
  <si>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</si>
  <si>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</si>
  <si>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</si>
  <si>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</si>
  <si>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</si>
  <si>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</si>
  <si>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</si>
  <si>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</si>
  <si>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</si>
  <si>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</si>
  <si>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</si>
  <si>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</si>
  <si>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</si>
  <si>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</si>
  <si>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</si>
  <si>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</si>
  <si>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</si>
  <si>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</si>
  <si>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</si>
  <si>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</si>
  <si>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</si>
  <si>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</si>
  <si>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</si>
  <si>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</si>
  <si>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</si>
  <si>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</si>
  <si>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</si>
  <si>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</si>
  <si>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</si>
  <si>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</si>
  <si>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</si>
  <si>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</si>
  <si>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</si>
  <si>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</si>
  <si>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</si>
  <si>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</si>
  <si>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</si>
  <si>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</si>
  <si>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</si>
  <si>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</si>
  <si>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</si>
  <si>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</si>
  <si>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</si>
  <si>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</si>
  <si>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</si>
  <si>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</si>
  <si>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</si>
  <si>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</si>
  <si>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</si>
  <si>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</si>
  <si>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</si>
  <si>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</si>
  <si>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</si>
  <si>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</si>
  <si>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</si>
  <si>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</si>
  <si>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</si>
  <si>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</si>
  <si>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</si>
  <si>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</si>
  <si>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</si>
  <si>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</si>
  <si>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</si>
  <si>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</si>
  <si>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</si>
  <si>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</si>
  <si>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</si>
  <si>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</si>
  <si>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</si>
  <si>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</si>
  <si>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</si>
  <si>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</si>
  <si>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</si>
  <si>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</si>
  <si>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</si>
  <si>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</si>
  <si>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</si>
  <si>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</si>
  <si>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</si>
  <si>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</si>
  <si>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</si>
  <si>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</si>
  <si>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</si>
  <si>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</si>
  <si>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</si>
  <si>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</si>
  <si>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</si>
  <si>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</si>
  <si>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</si>
  <si>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</si>
  <si>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</si>
  <si>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</si>
  <si>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</si>
  <si>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</si>
  <si>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</si>
  <si>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</si>
  <si>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</si>
  <si>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</si>
  <si>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</si>
  <si>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</si>
  <si>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</si>
  <si>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</si>
  <si>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</si>
  <si>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</si>
  <si>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</si>
  <si>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</si>
  <si>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</si>
  <si>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</si>
  <si>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</si>
  <si>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</si>
  <si>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</si>
  <si>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</si>
  <si>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</si>
  <si>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</si>
  <si>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</si>
  <si>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</si>
  <si>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</si>
  <si>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</si>
  <si>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</si>
  <si>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</si>
  <si>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</si>
  <si>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</si>
  <si>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</si>
  <si>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</si>
  <si>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</si>
  <si>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</si>
  <si>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</si>
  <si>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</si>
  <si>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</si>
  <si>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</si>
  <si>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</si>
  <si>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</si>
  <si>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</si>
  <si>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</si>
  <si>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</si>
  <si>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</si>
  <si>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</si>
  <si>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</si>
  <si>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</si>
  <si>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</si>
  <si>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</si>
  <si>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</si>
  <si>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</si>
  <si>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</si>
  <si>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</si>
  <si>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</si>
  <si>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</si>
  <si>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</si>
  <si>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</si>
  <si>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</si>
  <si>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</si>
  <si>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</si>
  <si>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</si>
  <si>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</si>
  <si>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</si>
  <si>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</si>
  <si>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</si>
  <si>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</si>
  <si>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</si>
  <si>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</si>
  <si>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</si>
  <si>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</si>
  <si>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</si>
  <si>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</si>
  <si>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</si>
  <si>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</si>
  <si>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</si>
  <si>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</si>
  <si>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</si>
  <si>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</si>
  <si>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</si>
  <si>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</si>
  <si>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</si>
  <si>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</si>
  <si>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</si>
  <si>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</si>
  <si>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</si>
  <si>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</si>
  <si>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</si>
  <si>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</si>
  <si>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</si>
  <si>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</si>
  <si>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</si>
  <si>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</si>
  <si>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</si>
  <si>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</si>
  <si>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</si>
  <si>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</si>
  <si>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</si>
  <si>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</si>
  <si>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</si>
  <si>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</si>
  <si>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</si>
  <si>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</si>
  <si>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</si>
  <si>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</si>
  <si>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</si>
  <si>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</si>
  <si>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</si>
  <si>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</si>
  <si>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</si>
  <si>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</si>
  <si>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</si>
  <si>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</si>
  <si>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</si>
  <si>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</si>
  <si>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</si>
  <si>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</si>
  <si>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</si>
  <si>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</si>
  <si>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</si>
  <si>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</si>
  <si>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</si>
  <si>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</si>
  <si>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</si>
  <si>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</si>
  <si>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</si>
  <si>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</si>
  <si>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</si>
  <si>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</si>
  <si>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</si>
  <si>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</si>
  <si>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</si>
  <si>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</si>
  <si>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</si>
  <si>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</si>
  <si>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</si>
  <si>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</si>
  <si>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</si>
  <si>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</si>
  <si>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</si>
  <si>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</si>
  <si>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</si>
  <si>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</si>
  <si>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</si>
  <si>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</si>
  <si>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</si>
  <si>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</si>
  <si>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</si>
  <si>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</si>
  <si>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</si>
  <si>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</si>
  <si>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</si>
  <si>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</si>
  <si>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</si>
  <si>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</si>
  <si>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</si>
  <si>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</si>
  <si>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</si>
  <si>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</si>
  <si>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</si>
  <si>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</si>
  <si>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</si>
  <si>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</si>
  <si>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</si>
  <si>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</si>
  <si>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</si>
  <si>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</si>
  <si>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</si>
  <si>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</si>
  <si>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</si>
  <si>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</si>
  <si>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</si>
  <si>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</si>
  <si>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</si>
  <si>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</si>
  <si>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</si>
  <si>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</si>
  <si>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</si>
  <si>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</si>
  <si>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</si>
  <si>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</si>
  <si>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</si>
  <si>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</si>
  <si>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</si>
  <si>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</si>
  <si>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</si>
  <si>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</si>
  <si>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</si>
  <si>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</si>
  <si>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</si>
  <si>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</si>
  <si>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</si>
  <si>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</si>
  <si>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</si>
  <si>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</si>
  <si>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</si>
  <si>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</si>
  <si>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</si>
  <si>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</si>
  <si>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</si>
  <si>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</si>
  <si>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</si>
  <si>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</si>
  <si>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</si>
  <si>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</si>
  <si>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</si>
  <si>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</si>
  <si>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</si>
  <si>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</si>
  <si>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</si>
  <si>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</si>
  <si>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</si>
  <si>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</si>
  <si>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</si>
  <si>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</si>
  <si>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</si>
  <si>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</si>
  <si>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</si>
  <si>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</si>
  <si>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</si>
  <si>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</si>
  <si>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</si>
  <si>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</si>
  <si>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</si>
  <si>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</si>
  <si>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</si>
  <si>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</si>
  <si>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</si>
  <si>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</si>
  <si>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</si>
  <si>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</si>
  <si>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</si>
  <si>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</si>
  <si>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</si>
  <si>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</si>
  <si>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</si>
  <si>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</si>
  <si>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</si>
  <si>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</si>
  <si>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</si>
  <si>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</si>
  <si>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</si>
  <si>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</si>
  <si>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</si>
  <si>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</si>
  <si>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</si>
  <si>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</si>
  <si>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</si>
  <si>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</si>
  <si>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</si>
  <si>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</si>
  <si>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</si>
  <si>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</si>
  <si>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</si>
  <si>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</si>
  <si>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</si>
  <si>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</si>
  <si>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</si>
  <si>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</si>
  <si>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</si>
  <si>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</si>
  <si>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</si>
  <si>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</si>
  <si>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</si>
  <si>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</si>
  <si>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</si>
  <si>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</si>
  <si>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</si>
  <si>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</si>
  <si>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</si>
  <si>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</si>
  <si>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</si>
  <si>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</si>
  <si>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</si>
  <si>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</si>
  <si>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</si>
  <si>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</si>
  <si>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</si>
  <si>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</si>
  <si>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</si>
  <si>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</si>
  <si>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</si>
  <si>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</si>
  <si>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</si>
  <si>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</si>
  <si>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</si>
  <si>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</si>
  <si>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</si>
  <si>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</si>
  <si>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</si>
  <si>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</si>
  <si>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</si>
  <si>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</si>
  <si>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</si>
  <si>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</si>
  <si>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</si>
  <si>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</si>
  <si>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</si>
  <si>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</si>
  <si>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</si>
  <si>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</si>
  <si>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</si>
  <si>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</si>
  <si>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</si>
  <si>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</si>
  <si>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</si>
  <si>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</si>
  <si>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</si>
  <si>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</si>
  <si>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</si>
  <si>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</si>
  <si>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</si>
  <si>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</si>
  <si>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</si>
  <si>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</si>
  <si>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</si>
  <si>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</si>
  <si>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</si>
  <si>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</si>
  <si>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</si>
  <si>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</si>
  <si>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</si>
  <si>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</si>
  <si>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</si>
  <si>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</si>
  <si>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</si>
  <si>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</si>
  <si>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</si>
  <si>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</si>
  <si>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</si>
  <si>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</si>
  <si>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</si>
  <si>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</si>
  <si>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</si>
  <si>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</si>
  <si>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</si>
  <si>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</si>
  <si>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</si>
  <si>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</si>
  <si>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</si>
  <si>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</si>
  <si>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</si>
  <si>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</si>
  <si>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</si>
  <si>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</si>
  <si>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</si>
  <si>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</si>
  <si>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</si>
  <si>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</si>
  <si>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</si>
  <si>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</si>
  <si>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</si>
  <si>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</si>
  <si>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</si>
  <si>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</si>
  <si>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</si>
  <si>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</si>
  <si>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</si>
  <si>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</si>
  <si>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</si>
  <si>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</si>
  <si>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</si>
  <si>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</si>
  <si>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</si>
  <si>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</si>
  <si>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</si>
  <si>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</si>
  <si>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</si>
  <si>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</si>
  <si>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</si>
  <si>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</si>
  <si>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</si>
  <si>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</si>
  <si>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</si>
  <si>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</si>
  <si>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</si>
  <si>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</si>
  <si>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</si>
  <si>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</si>
  <si>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</si>
  <si>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</si>
  <si>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</si>
  <si>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</si>
  <si>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</si>
  <si>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</si>
  <si>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</si>
  <si>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</si>
  <si>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</si>
  <si>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</si>
  <si>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</si>
  <si>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</si>
  <si>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</si>
  <si>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</si>
  <si>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</si>
  <si>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</si>
  <si>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</si>
  <si>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</si>
  <si>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</si>
  <si>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</si>
  <si>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</si>
  <si>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</si>
  <si>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</si>
  <si>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</si>
  <si>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</si>
  <si>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</si>
  <si>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</si>
  <si>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</si>
  <si>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</si>
  <si>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</si>
  <si>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</si>
  <si>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</si>
  <si>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</si>
  <si>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</si>
  <si>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</si>
  <si>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</si>
  <si>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</si>
  <si>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</si>
  <si>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</si>
  <si>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</si>
  <si>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</si>
  <si>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</si>
  <si>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</si>
  <si>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</si>
  <si>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</si>
  <si>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</si>
  <si>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</si>
  <si>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</si>
  <si>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</si>
  <si>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</si>
  <si>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</si>
  <si>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</si>
  <si>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</si>
  <si>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</si>
  <si>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</si>
  <si>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</si>
  <si>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</si>
  <si>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</si>
  <si>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</si>
  <si>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</si>
  <si>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</si>
  <si>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</si>
  <si>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</si>
  <si>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</si>
  <si>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</si>
  <si>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</si>
  <si>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</si>
  <si>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</si>
  <si>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</si>
  <si>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</si>
  <si>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</si>
  <si>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</si>
  <si>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</si>
  <si>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</si>
  <si>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</si>
  <si>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</si>
  <si>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</si>
  <si>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</si>
  <si>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</si>
  <si>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</si>
  <si>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</si>
  <si>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</si>
  <si>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</si>
  <si>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</si>
  <si>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</si>
  <si>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</si>
  <si>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</si>
  <si>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</si>
  <si>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</si>
  <si>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</si>
  <si>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</si>
  <si>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</si>
  <si>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</si>
  <si>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</si>
  <si>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</si>
  <si>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</si>
  <si>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</si>
  <si>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</si>
  <si>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</si>
  <si>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</si>
  <si>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</si>
  <si>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</si>
  <si>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</si>
  <si>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</si>
  <si>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</si>
  <si>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</si>
  <si>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</si>
  <si>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</si>
  <si>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</si>
  <si>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</si>
  <si>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</si>
  <si>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</si>
  <si>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</si>
  <si>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</si>
  <si>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</si>
  <si>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</si>
  <si>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</si>
  <si>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</si>
  <si>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</si>
  <si>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</si>
  <si>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</si>
  <si>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</si>
  <si>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</si>
  <si>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</si>
  <si>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</si>
  <si>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</si>
  <si>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</si>
  <si>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</si>
  <si>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</si>
  <si>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</si>
  <si>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</si>
  <si>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</si>
  <si>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</si>
  <si>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</si>
  <si>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</si>
  <si>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</si>
  <si>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</si>
  <si>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</si>
  <si>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</si>
  <si>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</si>
  <si>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</si>
  <si>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</si>
  <si>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</si>
  <si>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</si>
  <si>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</si>
  <si>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</si>
  <si>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</si>
  <si>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</si>
  <si>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</si>
  <si>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</si>
  <si>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</si>
  <si>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</si>
  <si>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</si>
  <si>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</si>
  <si>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</si>
  <si>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</si>
  <si>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</si>
  <si>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</si>
  <si>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</si>
  <si>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</si>
  <si>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</si>
  <si>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</si>
  <si>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</si>
  <si>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</si>
  <si>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</si>
  <si>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</si>
  <si>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</si>
  <si>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</si>
  <si>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</si>
  <si>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</si>
  <si>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</si>
  <si>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</si>
  <si>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</si>
  <si>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</si>
  <si>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</si>
  <si>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</si>
  <si>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</si>
  <si>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</si>
  <si>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</si>
  <si>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</si>
  <si>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</si>
  <si>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</si>
  <si>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</si>
  <si>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</si>
  <si>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</si>
  <si>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</si>
  <si>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</si>
  <si>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</si>
  <si>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</si>
  <si>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</si>
  <si>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</si>
  <si>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</si>
  <si>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</si>
  <si>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</si>
  <si>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</si>
  <si>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</si>
  <si>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</si>
  <si>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</si>
  <si>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</si>
  <si>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</si>
  <si>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</si>
  <si>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</si>
  <si>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</si>
  <si>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</si>
  <si>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</si>
  <si>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</si>
  <si>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</si>
  <si>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</si>
  <si>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</si>
  <si>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</si>
  <si>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</si>
  <si>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</si>
  <si>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</si>
  <si>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</si>
  <si>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</si>
  <si>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</si>
  <si>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</si>
  <si>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</si>
  <si>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</si>
  <si>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</si>
  <si>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</si>
  <si>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</si>
  <si>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</si>
  <si>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</si>
  <si>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</si>
  <si>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</si>
  <si>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</si>
  <si>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</si>
  <si>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</si>
  <si>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</si>
  <si>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</si>
  <si>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</si>
  <si>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</si>
  <si>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</si>
  <si>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</si>
  <si>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</si>
  <si>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</si>
  <si>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</si>
  <si>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</si>
  <si>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</si>
  <si>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</si>
  <si>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</si>
  <si>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</si>
  <si>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</si>
  <si>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</si>
  <si>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</si>
  <si>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</si>
  <si>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</si>
  <si>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</si>
  <si>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</si>
  <si>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</si>
  <si>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</si>
  <si>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</si>
  <si>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</si>
  <si>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</si>
  <si>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</si>
  <si>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</si>
  <si>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</si>
  <si>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</si>
  <si>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</si>
  <si>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</si>
  <si>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</si>
  <si>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</si>
  <si>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</si>
  <si>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</si>
  <si>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</si>
  <si>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</si>
  <si>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</si>
  <si>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</si>
  <si>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</si>
  <si>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</si>
  <si>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</si>
  <si>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</si>
  <si>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</si>
  <si>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</si>
  <si>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</si>
  <si>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</si>
  <si>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</si>
  <si>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</si>
  <si>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</si>
  <si>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</si>
  <si>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</si>
  <si>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</si>
  <si>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</si>
  <si>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</si>
  <si>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</si>
  <si>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</si>
  <si>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</si>
  <si>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</si>
  <si>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</si>
  <si>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</si>
  <si>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</si>
  <si>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</si>
  <si>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</si>
  <si>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</si>
  <si>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</si>
  <si>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</si>
  <si>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</si>
  <si>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</si>
  <si>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</si>
  <si>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</si>
  <si>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</si>
  <si>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</si>
  <si>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</si>
  <si>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</si>
  <si>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</si>
  <si>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</si>
  <si>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</si>
  <si>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</si>
  <si>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</si>
  <si>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</si>
  <si>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</si>
  <si>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</si>
  <si>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</si>
  <si>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</si>
  <si>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</si>
  <si>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</si>
  <si>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</si>
  <si>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</si>
  <si>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</si>
  <si>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</si>
  <si>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</si>
  <si>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</si>
  <si>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</si>
  <si>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</si>
  <si>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</si>
  <si>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</si>
  <si>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</si>
  <si>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</si>
  <si>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</si>
  <si>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</si>
  <si>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</si>
  <si>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</si>
  <si>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</si>
  <si>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</si>
  <si>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</si>
  <si>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</si>
  <si>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</si>
  <si>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</si>
  <si>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</si>
  <si>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</si>
  <si>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</si>
  <si>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</si>
  <si>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</si>
  <si>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</si>
  <si>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</si>
  <si>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</si>
  <si>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</si>
  <si>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</si>
  <si>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</si>
  <si>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</si>
  <si>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</si>
  <si>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</si>
  <si>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</si>
  <si>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</si>
  <si>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</si>
  <si>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</si>
  <si>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</si>
  <si>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</si>
  <si>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</si>
  <si>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</si>
  <si>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</si>
  <si>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</si>
  <si>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</si>
  <si>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</si>
  <si>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</si>
  <si>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</si>
  <si>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</si>
  <si>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</si>
  <si>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</si>
  <si>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</si>
  <si>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</si>
  <si>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</si>
  <si>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</si>
  <si>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</si>
  <si>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</si>
  <si>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</si>
  <si>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</si>
  <si>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</si>
  <si>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</si>
  <si>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</si>
  <si>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</si>
  <si>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</si>
  <si>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</si>
  <si>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</si>
  <si>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</si>
  <si>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</si>
  <si>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</si>
  <si>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</si>
  <si>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</si>
  <si>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</si>
  <si>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</si>
  <si>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</si>
  <si>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</si>
  <si>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</si>
  <si>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</si>
  <si>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</si>
  <si>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</si>
  <si>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</si>
  <si>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</si>
  <si>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</si>
  <si>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</si>
  <si>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</si>
  <si>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</si>
  <si>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</si>
  <si>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</si>
  <si>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</si>
  <si>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</si>
  <si>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</si>
  <si>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</si>
  <si>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</si>
  <si>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</si>
  <si>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</si>
  <si>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</si>
  <si>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</si>
  <si>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</si>
  <si>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</si>
  <si>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</si>
  <si>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</si>
  <si>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</si>
  <si>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</si>
  <si>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</si>
  <si>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</si>
  <si>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</si>
  <si>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</si>
  <si>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</si>
  <si>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</si>
  <si>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</si>
  <si>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</si>
  <si>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</si>
  <si>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</si>
  <si>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</si>
  <si>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</si>
  <si>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</si>
  <si>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</si>
  <si>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</si>
  <si>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</si>
  <si>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</si>
  <si>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</si>
  <si>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</si>
  <si>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</si>
  <si>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</si>
  <si>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</si>
  <si>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</si>
  <si>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</si>
  <si>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</si>
  <si>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</si>
  <si>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</si>
  <si>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</si>
  <si>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</si>
  <si>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</si>
  <si>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</si>
  <si>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</si>
  <si>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</si>
  <si>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</si>
  <si>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</si>
  <si>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</si>
  <si>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</si>
  <si>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</si>
  <si>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</si>
  <si>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</si>
  <si>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</si>
  <si>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</si>
  <si>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</si>
  <si>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</si>
  <si>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</si>
  <si>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</si>
  <si>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</si>
  <si>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</si>
  <si>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</si>
  <si>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</si>
  <si>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</si>
  <si>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</si>
  <si>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</si>
  <si>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</si>
  <si>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</si>
  <si>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</si>
  <si>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</si>
  <si>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</si>
  <si>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</si>
  <si>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</si>
  <si>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</si>
  <si>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</si>
  <si>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</si>
  <si>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</si>
  <si>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</si>
  <si>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</si>
  <si>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</si>
  <si>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</si>
  <si>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</si>
  <si>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</si>
  <si>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</si>
  <si>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</si>
  <si>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</si>
  <si>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</si>
  <si>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</si>
  <si>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</si>
  <si>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</si>
  <si>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</si>
  <si>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</si>
  <si>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</si>
  <si>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</si>
  <si>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</si>
  <si>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</si>
  <si>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</si>
  <si>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</si>
  <si>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</si>
  <si>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</si>
  <si>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</si>
  <si>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</si>
  <si>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</si>
  <si>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</si>
  <si>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</si>
  <si>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</si>
  <si>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</si>
  <si>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</si>
  <si>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</si>
  <si>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</si>
  <si>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</si>
  <si>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</si>
  <si>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</si>
  <si>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</si>
  <si>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</si>
  <si>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</si>
  <si>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</si>
  <si>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</si>
  <si>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</si>
  <si>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</si>
  <si>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</si>
  <si>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</si>
  <si>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</si>
  <si>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</si>
  <si>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</si>
  <si>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</si>
  <si>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</si>
  <si>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</si>
  <si>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</si>
  <si>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</si>
  <si>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</si>
  <si>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</si>
  <si>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</si>
  <si>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</si>
  <si>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</si>
  <si>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</si>
  <si>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</si>
  <si>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</si>
  <si>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</si>
  <si>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</si>
  <si>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</si>
  <si>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</si>
  <si>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</si>
  <si>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</si>
  <si>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</si>
  <si>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</si>
  <si>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</si>
  <si>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</si>
  <si>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</si>
  <si>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</si>
  <si>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</si>
  <si>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</si>
  <si>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</si>
  <si>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</si>
  <si>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</si>
  <si>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</si>
  <si>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</si>
  <si>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</si>
  <si>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</si>
  <si>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</si>
  <si>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</si>
  <si>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</si>
  <si>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</si>
  <si>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</si>
  <si>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</si>
  <si>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</si>
  <si>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</si>
  <si>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</si>
  <si>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</si>
  <si>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</si>
  <si>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</si>
  <si>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</si>
  <si>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</si>
  <si>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</si>
  <si>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</si>
  <si>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</si>
  <si>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</si>
  <si>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</si>
  <si>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</si>
  <si>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</si>
  <si>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</si>
  <si>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</si>
  <si>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</si>
  <si>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</si>
  <si>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</si>
  <si>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</si>
  <si>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</si>
  <si>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</si>
  <si>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</si>
  <si>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</si>
  <si>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</si>
  <si>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</si>
  <si>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</si>
  <si>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</si>
  <si>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</si>
  <si>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</si>
  <si>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</si>
  <si>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</si>
  <si>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</si>
  <si>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</si>
  <si>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</si>
  <si>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</si>
  <si>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</si>
  <si>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</si>
  <si>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</si>
  <si>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</si>
  <si>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</si>
  <si>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</si>
  <si>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</si>
  <si>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</si>
  <si>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</si>
  <si>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</si>
  <si>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</si>
  <si>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</si>
  <si>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</si>
  <si>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</si>
  <si>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</si>
  <si>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</si>
  <si>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</si>
  <si>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</si>
  <si>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</si>
  <si>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</si>
  <si>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</si>
  <si>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</si>
  <si>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</si>
  <si>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</si>
  <si>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</si>
  <si>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</si>
  <si>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</si>
  <si>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</si>
  <si>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</si>
  <si>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</si>
  <si>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</si>
  <si>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</si>
  <si>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</si>
  <si>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</si>
  <si>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</si>
  <si>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</si>
  <si>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</si>
  <si>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</si>
  <si>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</si>
  <si>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</si>
  <si>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</si>
  <si>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</si>
  <si>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</si>
  <si>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</si>
  <si>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</si>
  <si>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</si>
  <si>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</si>
  <si>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</si>
  <si>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</si>
  <si>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</si>
  <si>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</si>
  <si>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</si>
  <si>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</si>
  <si>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</si>
  <si>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</si>
  <si>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</si>
  <si>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</si>
  <si>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</si>
  <si>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</si>
  <si>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</si>
  <si>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</si>
  <si>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</si>
  <si>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</si>
  <si>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</si>
  <si>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</si>
  <si>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</si>
  <si>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</si>
  <si>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</si>
  <si>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</si>
  <si>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</si>
  <si>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</si>
  <si>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</si>
  <si>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</si>
  <si>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</si>
  <si>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</si>
  <si>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</si>
  <si>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</si>
  <si>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</si>
  <si>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</si>
  <si>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</si>
  <si>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</si>
  <si>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</si>
  <si>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</si>
  <si>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</si>
  <si>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</si>
  <si>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</si>
  <si>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</si>
  <si>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</si>
  <si>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</si>
  <si>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</si>
  <si>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</si>
  <si>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</si>
  <si>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</si>
  <si>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</si>
  <si>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</si>
  <si>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</si>
  <si>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</si>
  <si>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</si>
  <si>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</si>
  <si>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</si>
  <si>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</si>
  <si>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</si>
  <si>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</si>
  <si>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</si>
  <si>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</si>
  <si>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</si>
  <si>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</si>
  <si>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</si>
  <si>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</si>
  <si>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</si>
  <si>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</si>
  <si>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</si>
  <si>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</si>
  <si>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</si>
  <si>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</si>
  <si>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</si>
  <si>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</si>
  <si>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</si>
  <si>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</si>
  <si>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</si>
  <si>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</si>
  <si>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</si>
  <si>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</si>
  <si>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</si>
  <si>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</si>
  <si>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</si>
  <si>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</si>
  <si>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</si>
  <si>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</si>
  <si>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</si>
  <si>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</si>
  <si>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</si>
  <si>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</si>
  <si>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</si>
  <si>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</si>
  <si>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</si>
  <si>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</si>
  <si>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</si>
  <si>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</si>
  <si>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</si>
  <si>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</si>
  <si>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</si>
  <si>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</si>
  <si>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</si>
  <si>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</si>
  <si>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</si>
  <si>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</si>
  <si>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</si>
  <si>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</si>
  <si>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</si>
  <si>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</si>
  <si>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</si>
  <si>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</si>
  <si>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</si>
  <si>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</si>
  <si>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</si>
  <si>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</si>
  <si>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</si>
  <si>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</si>
  <si>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</si>
  <si>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</si>
  <si>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</si>
  <si>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</si>
  <si>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</si>
  <si>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</si>
  <si>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</si>
  <si>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</si>
  <si>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</si>
  <si>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</si>
  <si>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</si>
  <si>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</si>
  <si>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</si>
  <si>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</si>
  <si>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</si>
  <si>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</si>
  <si>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</si>
  <si>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</si>
  <si>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</si>
  <si>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</si>
  <si>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</si>
  <si>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</si>
  <si>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</si>
  <si>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</si>
  <si>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</si>
  <si>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</si>
  <si>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</si>
  <si>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</si>
  <si>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</si>
  <si>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</si>
  <si>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</si>
  <si>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</si>
  <si>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</si>
  <si>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</si>
  <si>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</si>
  <si>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</si>
  <si>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</si>
  <si>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</si>
  <si>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</si>
  <si>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</si>
  <si>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</si>
  <si>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</si>
  <si>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</si>
  <si>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</si>
  <si>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</si>
  <si>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</si>
  <si>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</si>
  <si>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</si>
  <si>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</si>
  <si>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</si>
  <si>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</si>
  <si>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</si>
  <si>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</si>
  <si>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</si>
  <si>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</si>
  <si>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</si>
  <si>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</si>
  <si>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</si>
  <si>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</si>
  <si>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</si>
  <si>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</si>
  <si>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</si>
  <si>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</si>
  <si>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</si>
  <si>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</si>
  <si>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</si>
  <si>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</si>
  <si>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</si>
  <si>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</si>
  <si>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</si>
  <si>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</si>
  <si>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</si>
  <si>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</si>
  <si>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</si>
  <si>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</si>
  <si>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</si>
  <si>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</si>
  <si>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</si>
  <si>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</si>
  <si>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</si>
  <si>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</si>
  <si>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</si>
  <si>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</si>
  <si>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</si>
  <si>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</si>
  <si>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</si>
  <si>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</si>
  <si>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</si>
  <si>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</si>
  <si>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</si>
  <si>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</si>
  <si>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</si>
  <si>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</si>
  <si>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</si>
  <si>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</si>
  <si>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</si>
  <si>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</si>
  <si>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</si>
  <si>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</si>
  <si>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</si>
  <si>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</si>
  <si>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</si>
  <si>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</si>
  <si>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</si>
  <si>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</si>
  <si>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</si>
  <si>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</si>
  <si>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</si>
  <si>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</si>
  <si>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</si>
  <si>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</si>
  <si>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</si>
  <si>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</si>
  <si>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</si>
  <si>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</si>
  <si>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</si>
  <si>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</si>
  <si>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</si>
  <si>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</si>
  <si>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</si>
  <si>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</si>
  <si>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</si>
  <si>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</si>
  <si>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</si>
  <si>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</si>
  <si>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</si>
  <si>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</si>
  <si>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</si>
  <si>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</si>
  <si>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</si>
  <si>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</si>
  <si>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</si>
  <si>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</si>
  <si>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</si>
  <si>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</si>
  <si>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</si>
  <si>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</si>
  <si>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</si>
  <si>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</si>
  <si>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</si>
  <si>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</si>
  <si>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</si>
  <si>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</si>
  <si>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</si>
  <si>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</si>
  <si>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</si>
  <si>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</si>
  <si>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</si>
  <si>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</si>
  <si>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</si>
  <si>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</si>
  <si>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</si>
  <si>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</si>
  <si>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</si>
  <si>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</si>
  <si>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</si>
  <si>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</si>
  <si>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</si>
  <si>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</si>
  <si>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</si>
  <si>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</si>
  <si>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</si>
  <si>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</si>
  <si>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</si>
  <si>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</si>
  <si>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</si>
  <si>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</si>
  <si>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</si>
  <si>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</si>
  <si>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</si>
  <si>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</si>
  <si>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</si>
  <si>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</si>
  <si>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</si>
  <si>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</si>
  <si>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</si>
  <si>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</si>
  <si>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</si>
  <si>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</si>
  <si>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</si>
  <si>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</si>
  <si>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</si>
  <si>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</si>
  <si>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</si>
  <si>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</si>
  <si>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</si>
  <si>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</si>
  <si>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</si>
  <si>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</si>
  <si>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</si>
  <si>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</si>
  <si>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</si>
  <si>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</si>
  <si>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</si>
  <si>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</si>
  <si>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</si>
  <si>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</si>
  <si>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</si>
  <si>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</si>
  <si>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</si>
  <si>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</si>
  <si>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</si>
  <si>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</si>
  <si>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</si>
  <si>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</si>
  <si>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</si>
  <si>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</si>
  <si>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</si>
  <si>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</si>
  <si>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</si>
  <si>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</si>
  <si>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</si>
  <si>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</si>
  <si>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</si>
  <si>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</si>
  <si>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</si>
  <si>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</si>
  <si>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</si>
  <si>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</si>
  <si>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</si>
  <si>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</si>
  <si>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</si>
  <si>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</si>
  <si>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</si>
  <si>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</si>
  <si>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</si>
  <si>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</si>
  <si>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</si>
  <si>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</si>
  <si>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</si>
  <si>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</si>
  <si>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</si>
  <si>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</si>
  <si>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</si>
  <si>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</si>
  <si>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</si>
  <si>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</si>
  <si>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</si>
  <si>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</si>
  <si>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</si>
  <si>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</si>
  <si>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</si>
  <si>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</si>
  <si>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</si>
  <si>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</si>
  <si>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</si>
  <si>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</si>
  <si>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</si>
  <si>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</si>
  <si>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</si>
  <si>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</si>
  <si>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</si>
  <si>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</si>
  <si>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</si>
  <si>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</si>
  <si>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</si>
  <si>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</si>
  <si>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</si>
  <si>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</si>
  <si>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</si>
  <si>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</si>
  <si>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</si>
  <si>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</si>
  <si>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</si>
  <si>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</si>
  <si>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</si>
  <si>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</si>
  <si>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</si>
  <si>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</si>
  <si>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</si>
  <si>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</si>
  <si>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</si>
  <si>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</si>
  <si>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</si>
  <si>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</si>
  <si>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</si>
  <si>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</si>
  <si>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</si>
  <si>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</si>
  <si>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</si>
  <si>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</si>
  <si>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</si>
  <si>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</si>
  <si>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</si>
  <si>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</si>
  <si>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</si>
  <si>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</si>
  <si>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</si>
  <si>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</si>
  <si>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</si>
  <si>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</si>
  <si>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</si>
  <si>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</si>
  <si>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</si>
  <si>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</si>
  <si>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</si>
  <si>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</si>
  <si>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</si>
  <si>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</si>
  <si>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</si>
  <si>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</si>
  <si>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</si>
  <si>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</si>
  <si>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</si>
  <si>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</si>
  <si>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</si>
  <si>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</si>
  <si>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</si>
  <si>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</si>
  <si>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</si>
  <si>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</si>
  <si>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</si>
  <si>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</si>
  <si>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</si>
  <si>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</si>
  <si>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</si>
  <si>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</si>
  <si>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</si>
  <si>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</si>
  <si>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</si>
  <si>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</si>
  <si>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</si>
  <si>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</si>
  <si>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</si>
  <si>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</si>
  <si>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</si>
  <si>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</si>
  <si>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</si>
  <si>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</si>
  <si>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</si>
  <si>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</si>
  <si>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</si>
  <si>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</si>
  <si>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</si>
  <si>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</si>
  <si>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</si>
  <si>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</si>
  <si>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</si>
  <si>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</si>
  <si>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</si>
  <si>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</si>
  <si>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</si>
  <si>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</si>
  <si>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</si>
  <si>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</si>
  <si>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</si>
  <si>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</si>
  <si>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</si>
  <si>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</si>
  <si>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</si>
  <si>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</si>
  <si>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</si>
  <si>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</si>
  <si>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</si>
  <si>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</si>
  <si>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</si>
  <si>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</si>
  <si>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</si>
  <si>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</si>
  <si>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</si>
  <si>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</si>
  <si>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</si>
  <si>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</si>
  <si>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</si>
  <si>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</si>
  <si>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</si>
  <si>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</si>
  <si>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</si>
  <si>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</si>
  <si>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</si>
  <si>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</si>
  <si>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</si>
  <si>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</si>
  <si>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</si>
  <si>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</si>
  <si>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</si>
  <si>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</si>
  <si>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</si>
  <si>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</si>
  <si>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</si>
  <si>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</si>
  <si>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</si>
  <si>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</si>
  <si>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</si>
  <si>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</si>
  <si>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</si>
  <si>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</si>
  <si>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</si>
  <si>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</si>
  <si>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</si>
  <si>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</si>
  <si>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</si>
  <si>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</si>
  <si>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</si>
  <si>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</si>
  <si>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</si>
  <si>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</si>
  <si>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</si>
  <si>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</si>
  <si>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</si>
  <si>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</si>
  <si>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</si>
  <si>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</si>
  <si>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</si>
  <si>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</si>
  <si>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</si>
  <si>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</si>
  <si>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</si>
  <si>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</si>
  <si>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</si>
  <si>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</si>
  <si>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</si>
  <si>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</si>
  <si>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</si>
  <si>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</si>
  <si>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</si>
  <si>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</si>
  <si>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</si>
  <si>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</si>
  <si>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</si>
  <si>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</si>
  <si>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</si>
  <si>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</si>
  <si>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</si>
  <si>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</si>
  <si>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</si>
  <si>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</si>
  <si>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</si>
  <si>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</si>
  <si>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</si>
  <si>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</si>
  <si>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</si>
  <si>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</si>
  <si>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</si>
  <si>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</si>
  <si>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</si>
  <si>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</si>
  <si>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</si>
  <si>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</si>
  <si>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</si>
  <si>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</si>
  <si>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</si>
  <si>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</si>
  <si>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</si>
  <si>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</si>
  <si>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</si>
  <si>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</si>
  <si>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</si>
  <si>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</si>
  <si>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</si>
  <si>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</si>
  <si>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</si>
  <si>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</si>
  <si>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</si>
  <si>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</si>
  <si>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</si>
  <si>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</si>
  <si>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</si>
  <si>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</si>
  <si>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</si>
  <si>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</si>
  <si>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</si>
  <si>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</si>
  <si>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</si>
  <si>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</si>
  <si>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</si>
  <si>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</si>
  <si>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</si>
  <si>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</si>
  <si>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</si>
  <si>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</si>
  <si>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</si>
  <si>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</si>
  <si>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</si>
  <si>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</si>
  <si>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</si>
  <si>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</si>
  <si>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</si>
  <si>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</si>
  <si>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</si>
  <si>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</si>
  <si>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</si>
  <si>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</si>
  <si>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</si>
  <si>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</si>
  <si>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</si>
  <si>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</si>
  <si>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</si>
  <si>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</si>
  <si>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</si>
  <si>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</si>
  <si>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</si>
  <si>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</si>
  <si>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</si>
  <si>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</si>
  <si>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</si>
  <si>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</si>
  <si>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</si>
  <si>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</si>
  <si>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</si>
  <si>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</si>
  <si>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</si>
  <si>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</si>
  <si>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</si>
  <si>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</si>
  <si>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</si>
  <si>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</si>
  <si>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</si>
  <si>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</si>
  <si>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</si>
  <si>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</si>
  <si>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</si>
  <si>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</si>
  <si>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</si>
  <si>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</si>
  <si>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</si>
  <si>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</si>
  <si>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</si>
  <si>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</si>
  <si>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</si>
  <si>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</si>
  <si>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</si>
  <si>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</si>
  <si>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</si>
  <si>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</si>
  <si>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</si>
  <si>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</si>
  <si>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</si>
  <si>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</si>
  <si>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</si>
  <si>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</si>
  <si>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</si>
  <si>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</si>
  <si>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</si>
  <si>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</si>
  <si>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</si>
  <si>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</si>
  <si>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</si>
  <si>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</si>
  <si>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</si>
  <si>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</si>
  <si>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</si>
  <si>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</si>
  <si>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</si>
  <si>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</si>
  <si>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</si>
  <si>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</si>
  <si>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</si>
  <si>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</si>
  <si>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</si>
  <si>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</si>
  <si>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</si>
  <si>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</si>
  <si>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</si>
  <si>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</si>
  <si>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</si>
  <si>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</si>
  <si>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</si>
  <si>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</si>
  <si>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</si>
  <si>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</si>
  <si>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</si>
  <si>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</si>
  <si>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</si>
  <si>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</si>
  <si>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</si>
  <si>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</si>
  <si>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</si>
  <si>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</si>
  <si>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</si>
  <si>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</si>
  <si>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</si>
  <si>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</si>
  <si>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</si>
  <si>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</si>
  <si>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</si>
  <si>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</si>
  <si>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</si>
  <si>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</si>
  <si>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</si>
  <si>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</si>
  <si>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</si>
  <si>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</si>
  <si>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</si>
  <si>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</si>
  <si>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</si>
  <si>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</si>
  <si>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</si>
  <si>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</si>
  <si>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</si>
  <si>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</si>
  <si>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</si>
  <si>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</si>
  <si>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</si>
  <si>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</si>
  <si>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</si>
  <si>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</si>
  <si>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</si>
  <si>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</si>
  <si>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</si>
  <si>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</si>
  <si>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</si>
  <si>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</si>
  <si>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</si>
  <si>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</si>
  <si>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</si>
  <si>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</si>
  <si>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</si>
  <si>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</si>
  <si>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</si>
  <si>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</si>
  <si>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</si>
  <si>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</si>
  <si>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</si>
  <si>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</si>
  <si>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</si>
  <si>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</si>
  <si>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</si>
  <si>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</si>
  <si>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</si>
  <si>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</si>
  <si>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</si>
  <si>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</si>
  <si>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</si>
  <si>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</si>
  <si>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</si>
  <si>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</si>
  <si>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</si>
  <si>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</si>
  <si>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</si>
  <si>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</si>
  <si>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</si>
  <si>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</si>
  <si>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</si>
  <si>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</si>
  <si>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</si>
  <si>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</si>
  <si>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</si>
  <si>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</si>
  <si>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</si>
  <si>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</si>
  <si>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</si>
  <si>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</si>
  <si>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</si>
  <si>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</si>
  <si>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</si>
  <si>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</si>
  <si>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</si>
  <si>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</si>
  <si>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</si>
  <si>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</si>
  <si>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</si>
  <si>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</si>
  <si>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</si>
  <si>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</si>
  <si>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</si>
  <si>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</si>
  <si>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</si>
  <si>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</si>
  <si>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</si>
  <si>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</si>
  <si>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</si>
  <si>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</si>
  <si>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</si>
  <si>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</si>
  <si>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</si>
  <si>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</si>
  <si>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</si>
  <si>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</si>
  <si>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</si>
  <si>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</si>
  <si>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</si>
  <si>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</si>
  <si>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</si>
  <si>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</si>
  <si>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</si>
  <si>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</si>
  <si>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</si>
  <si>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</si>
  <si>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</si>
  <si>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</si>
  <si>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</si>
  <si>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</si>
  <si>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</si>
  <si>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</si>
  <si>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</si>
  <si>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</si>
  <si>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</si>
  <si>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</si>
  <si>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</si>
  <si>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</si>
  <si>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</si>
  <si>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</si>
  <si>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</si>
  <si>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</si>
  <si>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</si>
  <si>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</si>
  <si>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</si>
  <si>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</si>
  <si>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</si>
  <si>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</si>
  <si>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</si>
  <si>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</si>
  <si>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</si>
  <si>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</si>
  <si>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</si>
  <si>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</si>
  <si>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</si>
  <si>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</si>
  <si>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</si>
  <si>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</si>
  <si>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</si>
  <si>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</si>
  <si>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</si>
  <si>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</si>
  <si>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</si>
  <si>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</si>
  <si>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</si>
  <si>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</si>
  <si>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</si>
  <si>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</si>
  <si>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</si>
  <si>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</si>
  <si>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</si>
  <si>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</si>
  <si>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</si>
  <si>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</si>
  <si>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</si>
  <si>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</si>
  <si>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</si>
  <si>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</si>
  <si>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</si>
  <si>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</si>
  <si>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</si>
  <si>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</si>
  <si>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</si>
  <si>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</si>
  <si>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</si>
  <si>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</si>
  <si>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</si>
  <si>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</si>
  <si>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</si>
  <si>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</si>
  <si>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</si>
  <si>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</si>
  <si>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</si>
  <si>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</si>
  <si>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</si>
  <si>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</si>
  <si>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</si>
  <si>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</si>
  <si>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</si>
  <si>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</si>
  <si>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</si>
  <si>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</si>
  <si>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</si>
  <si>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</si>
  <si>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</si>
  <si>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</si>
  <si>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</si>
  <si>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</si>
  <si>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</si>
  <si>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</si>
  <si>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</si>
  <si>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</si>
  <si>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</si>
  <si>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</si>
  <si>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</si>
  <si>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</si>
  <si>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</si>
  <si>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</si>
  <si>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</si>
  <si>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</si>
  <si>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</si>
  <si>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</si>
  <si>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</si>
  <si>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</si>
  <si>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</si>
  <si>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</si>
  <si>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</si>
  <si>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</si>
  <si>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</si>
  <si>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</si>
  <si>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</si>
  <si>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</si>
  <si>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</si>
  <si>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</si>
  <si>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</si>
  <si>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</si>
  <si>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</si>
  <si>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</si>
  <si>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</si>
  <si>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</si>
  <si>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</si>
  <si>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</si>
  <si>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</si>
  <si>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</si>
  <si>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</si>
  <si>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</si>
  <si>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</si>
  <si>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</si>
  <si>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</si>
  <si>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</si>
  <si>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</si>
  <si>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</si>
  <si>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</si>
  <si>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</si>
  <si>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</si>
  <si>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</si>
  <si>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</si>
  <si>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</si>
  <si>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</si>
  <si>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</si>
  <si>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</si>
  <si>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</si>
  <si>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</si>
  <si>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</si>
  <si>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</si>
  <si>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</si>
  <si>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</si>
  <si>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</si>
  <si>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</si>
  <si>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</si>
  <si>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</si>
  <si>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</si>
  <si>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</si>
  <si>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</si>
  <si>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</si>
  <si>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</si>
  <si>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</si>
  <si>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</si>
  <si>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</si>
  <si>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</si>
  <si>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</si>
  <si>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</si>
  <si>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</si>
  <si>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</si>
  <si>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</si>
  <si>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</si>
  <si>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</si>
  <si>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</si>
  <si>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</si>
  <si>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</si>
  <si>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</si>
  <si>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</si>
  <si>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</si>
  <si>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</si>
  <si>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</si>
  <si>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</si>
  <si>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</si>
  <si>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</si>
  <si>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</si>
  <si>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</si>
  <si>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</si>
  <si>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</si>
  <si>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</si>
  <si>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</si>
  <si>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</si>
  <si>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</si>
  <si>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</si>
  <si>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</si>
  <si>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</si>
  <si>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</si>
  <si>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</si>
  <si>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</si>
  <si>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</si>
  <si>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</si>
  <si>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</si>
  <si>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</si>
  <si>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</si>
  <si>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</si>
  <si>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</si>
  <si>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</si>
  <si>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</si>
  <si>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</si>
  <si>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</si>
  <si>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</si>
  <si>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</si>
  <si>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</si>
  <si>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</si>
  <si>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</si>
  <si>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</si>
  <si>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</si>
  <si>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</si>
  <si>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</si>
  <si>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</si>
  <si>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</si>
  <si>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</si>
  <si>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</si>
  <si>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</si>
  <si>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</si>
  <si>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</si>
  <si>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</si>
  <si>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</si>
  <si>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</si>
  <si>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</si>
  <si>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</si>
  <si>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</si>
  <si>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</si>
  <si>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</si>
  <si>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</si>
  <si>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</si>
  <si>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</si>
  <si>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</si>
  <si>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</si>
  <si>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</si>
  <si>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</si>
  <si>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</si>
  <si>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</si>
  <si>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</si>
  <si>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</si>
  <si>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</si>
  <si>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</si>
  <si>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</si>
  <si>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</si>
  <si>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</si>
  <si>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</si>
  <si>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</si>
  <si>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</si>
  <si>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</si>
  <si>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</si>
  <si>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</si>
  <si>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</si>
  <si>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</si>
  <si>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</si>
  <si>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</si>
  <si>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</si>
  <si>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</si>
  <si>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</si>
  <si>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</si>
  <si>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</si>
  <si>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</si>
  <si>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</si>
  <si>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</si>
  <si>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</si>
  <si>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</si>
  <si>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</si>
  <si>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</si>
  <si>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</si>
  <si>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</si>
  <si>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</si>
  <si>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</si>
  <si>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</si>
  <si>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</si>
  <si>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</si>
  <si>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</si>
  <si>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</si>
  <si>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</si>
  <si>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</si>
  <si>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</si>
  <si>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</si>
  <si>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</si>
  <si>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</si>
  <si>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</si>
  <si>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</si>
  <si>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</si>
  <si>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</si>
  <si>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</si>
  <si>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</si>
  <si>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</si>
  <si>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</si>
  <si>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</si>
  <si>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</si>
  <si>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</si>
  <si>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</si>
  <si>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</si>
  <si>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</si>
  <si>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</si>
  <si>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</si>
  <si>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</si>
  <si>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</si>
  <si>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</si>
  <si>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</si>
  <si>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</si>
  <si>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</si>
  <si>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</si>
  <si>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</si>
  <si>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</si>
  <si>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</si>
  <si>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</si>
  <si>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</si>
  <si>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</si>
  <si>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</si>
  <si>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</si>
  <si>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</si>
  <si>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</si>
  <si>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</si>
  <si>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</si>
  <si>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</si>
  <si>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</si>
  <si>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</si>
  <si>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</si>
  <si>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</si>
  <si>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</si>
  <si>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</si>
  <si>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</si>
  <si>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</si>
  <si>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</si>
  <si>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</si>
  <si>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</si>
  <si>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</si>
  <si>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</si>
  <si>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</si>
  <si>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</si>
  <si>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</si>
  <si>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</si>
  <si>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</si>
  <si>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</si>
  <si>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</si>
  <si>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</si>
  <si>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</si>
  <si>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</si>
  <si>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</si>
  <si>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</si>
  <si>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</si>
  <si>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</si>
  <si>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</si>
  <si>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</si>
  <si>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</si>
  <si>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</si>
  <si>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</si>
  <si>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</si>
  <si>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</si>
  <si>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</si>
  <si>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</si>
  <si>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</si>
  <si>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</si>
  <si>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</si>
  <si>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</si>
  <si>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</si>
  <si>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</si>
  <si>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</si>
  <si>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</si>
  <si>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</si>
  <si>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</si>
  <si>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</si>
  <si>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</si>
  <si>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</si>
  <si>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</si>
  <si>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</si>
  <si>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</si>
  <si>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</si>
  <si>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</si>
  <si>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</si>
  <si>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</si>
  <si>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</si>
  <si>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</si>
  <si>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</si>
  <si>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</si>
  <si>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</si>
  <si>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</si>
  <si>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</si>
  <si>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</si>
  <si>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</si>
  <si>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</si>
  <si>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</si>
  <si>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</si>
  <si>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</si>
  <si>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</si>
  <si>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</si>
  <si>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</si>
  <si>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</si>
  <si>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</si>
  <si>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</si>
  <si>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</si>
  <si>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</si>
  <si>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</si>
  <si>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</si>
  <si>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</si>
  <si>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</si>
  <si>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</si>
  <si>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</si>
  <si>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</si>
  <si>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</si>
  <si>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</si>
  <si>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</si>
  <si>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</si>
  <si>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</si>
  <si>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</si>
  <si>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</si>
  <si>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</si>
  <si>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</si>
  <si>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</si>
  <si>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</si>
  <si>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</si>
  <si>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</si>
  <si>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</si>
  <si>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</si>
  <si>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</si>
  <si>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</si>
  <si>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</si>
  <si>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</si>
  <si>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</si>
  <si>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</si>
  <si>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</si>
  <si>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</si>
  <si>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</si>
  <si>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</si>
  <si>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</si>
  <si>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</si>
  <si>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</si>
  <si>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</si>
  <si>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</si>
  <si>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</si>
  <si>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</si>
  <si>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</si>
  <si>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</si>
  <si>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</si>
  <si>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</si>
  <si>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</si>
  <si>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</si>
  <si>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</si>
  <si>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</si>
  <si>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</si>
  <si>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</si>
  <si>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</si>
  <si>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</si>
  <si>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</si>
  <si>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</si>
  <si>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</si>
  <si>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</si>
  <si>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</si>
  <si>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</si>
  <si>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</si>
  <si>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</si>
  <si>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</si>
  <si>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</si>
  <si>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</si>
  <si>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</si>
  <si>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</si>
  <si>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</si>
  <si>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</si>
  <si>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</si>
  <si>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</si>
  <si>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</si>
  <si>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</si>
  <si>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</si>
  <si>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</si>
  <si>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</si>
  <si>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</si>
  <si>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</si>
  <si>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</si>
  <si>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</si>
  <si>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</si>
  <si>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</si>
  <si>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</si>
  <si>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</si>
  <si>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</si>
  <si>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</si>
  <si>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</si>
  <si>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</si>
  <si>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</si>
  <si>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</si>
  <si>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</si>
  <si>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</si>
  <si>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</si>
  <si>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</si>
  <si>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</si>
  <si>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</si>
  <si>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</si>
  <si>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</si>
  <si>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</si>
  <si>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</si>
  <si>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</si>
  <si>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</si>
  <si>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</si>
  <si>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</si>
  <si>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</si>
  <si>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</si>
  <si>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</si>
  <si>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</si>
  <si>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</si>
  <si>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</si>
  <si>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</si>
  <si>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</si>
  <si>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</si>
  <si>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</si>
  <si>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</si>
  <si>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</si>
  <si>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</si>
  <si>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</si>
  <si>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</si>
  <si>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</si>
  <si>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</si>
  <si>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</si>
  <si>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</si>
  <si>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</si>
  <si>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</si>
  <si>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</si>
  <si>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</si>
  <si>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</si>
  <si>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</si>
  <si>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</si>
  <si>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</si>
  <si>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</si>
  <si>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</si>
  <si>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</si>
  <si>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</si>
  <si>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</si>
  <si>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</si>
  <si>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</si>
  <si>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</si>
  <si>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</si>
  <si>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</si>
  <si>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</si>
  <si>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</si>
  <si>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</si>
  <si>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</si>
  <si>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</si>
  <si>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</si>
  <si>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</si>
  <si>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</si>
  <si>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</si>
  <si>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</si>
  <si>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</si>
  <si>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</si>
  <si>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</si>
  <si>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</si>
  <si>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</si>
  <si>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</si>
  <si>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</si>
  <si>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</si>
  <si>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</si>
  <si>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</si>
  <si>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</si>
  <si>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</si>
  <si>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</si>
  <si>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</si>
  <si>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</si>
  <si>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</si>
  <si>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</si>
  <si>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</si>
  <si>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</si>
  <si>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</si>
  <si>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</si>
  <si>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</si>
  <si>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</si>
  <si>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</si>
  <si>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</si>
  <si>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</si>
  <si>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</si>
  <si>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</si>
  <si>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</si>
  <si>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</si>
  <si>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</si>
  <si>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</si>
  <si>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</si>
  <si>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</si>
  <si>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</si>
  <si>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</si>
  <si>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</si>
  <si>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</si>
  <si>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</si>
  <si>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</si>
  <si>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</si>
  <si>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</si>
  <si>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</si>
  <si>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</si>
  <si>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</si>
  <si>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</si>
  <si>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</si>
  <si>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</si>
  <si>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</si>
  <si>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</si>
  <si>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</si>
  <si>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</si>
  <si>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</si>
  <si>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</si>
  <si>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</si>
  <si>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</si>
  <si>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</si>
  <si>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</si>
  <si>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</si>
  <si>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</si>
  <si>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</si>
  <si>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</si>
  <si>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</si>
  <si>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</si>
  <si>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</si>
  <si>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</si>
  <si>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</si>
  <si>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</si>
  <si>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</si>
  <si>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</si>
  <si>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</si>
  <si>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</si>
  <si>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</si>
  <si>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</si>
  <si>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</si>
  <si>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</si>
  <si>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</si>
  <si>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</si>
  <si>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</si>
  <si>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</si>
  <si>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</si>
  <si>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</si>
  <si>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</si>
  <si>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</si>
  <si>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</si>
  <si>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</si>
  <si>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</si>
  <si>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</si>
  <si>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</si>
  <si>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</si>
  <si>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</si>
  <si>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</si>
  <si>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</si>
  <si>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</si>
  <si>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</si>
  <si>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</si>
  <si>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</si>
  <si>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</si>
  <si>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</si>
  <si>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</si>
  <si>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</si>
  <si>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</si>
  <si>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</si>
  <si>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</si>
  <si>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</si>
  <si>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</si>
  <si>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</si>
  <si>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</si>
  <si>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</si>
  <si>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</si>
  <si>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</si>
  <si>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</si>
  <si>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</si>
  <si>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</si>
  <si>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</si>
  <si>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</si>
  <si>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</si>
  <si>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</si>
  <si>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</si>
  <si>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</si>
  <si>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</si>
  <si>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</si>
  <si>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</si>
  <si>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</si>
  <si>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</si>
  <si>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</si>
  <si>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</si>
  <si>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</si>
  <si>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</si>
  <si>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</si>
  <si>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</si>
  <si>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</si>
  <si>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</si>
  <si>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</si>
  <si>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</si>
  <si>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</si>
  <si>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</si>
  <si>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</si>
  <si>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</si>
  <si>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</si>
  <si>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</si>
  <si>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</si>
  <si>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</si>
  <si>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</si>
  <si>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</si>
  <si>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</si>
  <si>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</si>
  <si>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</si>
  <si>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</si>
  <si>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</si>
  <si>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</si>
  <si>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</si>
  <si>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</si>
  <si>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</si>
  <si>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</si>
  <si>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</si>
  <si>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</si>
  <si>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</si>
  <si>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</si>
  <si>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</si>
  <si>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</si>
  <si>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</si>
  <si>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</si>
  <si>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</si>
  <si>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</si>
  <si>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</si>
  <si>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</si>
  <si>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</si>
  <si>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</si>
  <si>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</si>
  <si>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</si>
  <si>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</si>
  <si>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</si>
  <si>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</si>
  <si>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</si>
  <si>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</si>
  <si>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</si>
  <si>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</si>
  <si>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</si>
  <si>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</si>
  <si>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</si>
  <si>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</si>
  <si>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</si>
  <si>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</si>
  <si>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</si>
  <si>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</si>
  <si>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</si>
  <si>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</si>
  <si>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</si>
  <si>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</si>
  <si>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</si>
  <si>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</si>
  <si>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</si>
  <si>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</si>
  <si>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</si>
  <si>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</si>
  <si>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</si>
  <si>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</si>
  <si>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</si>
  <si>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</si>
  <si>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</si>
  <si>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</si>
  <si>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</si>
  <si>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</si>
  <si>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</si>
  <si>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</si>
  <si>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</si>
  <si>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</si>
  <si>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</si>
  <si>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</si>
  <si>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</si>
  <si>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</si>
  <si>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</si>
  <si>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</si>
  <si>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</si>
  <si>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</si>
  <si>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</si>
  <si>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</si>
  <si>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</si>
  <si>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</si>
  <si>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</si>
  <si>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</si>
  <si>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</si>
  <si>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</si>
  <si>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</si>
  <si>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</si>
  <si>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</si>
  <si>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</si>
  <si>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</si>
  <si>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</si>
  <si>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</si>
  <si>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</si>
  <si>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</si>
  <si>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</si>
  <si>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</si>
  <si>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</si>
  <si>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</si>
  <si>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</si>
  <si>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</si>
  <si>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</si>
  <si>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</si>
  <si>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</si>
  <si>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</si>
  <si>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</si>
  <si>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</si>
  <si>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</si>
  <si>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</si>
  <si>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</si>
  <si>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</si>
  <si>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</si>
  <si>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</si>
  <si>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</si>
  <si>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</si>
  <si>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</si>
  <si>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</si>
  <si>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</si>
  <si>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</si>
  <si>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</si>
  <si>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</si>
  <si>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</si>
  <si>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</si>
  <si>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</si>
  <si>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</si>
  <si>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</si>
  <si>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</si>
  <si>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</si>
  <si>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</si>
  <si>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</si>
  <si>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</si>
  <si>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</si>
  <si>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</si>
  <si>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</si>
  <si>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</si>
  <si>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</si>
  <si>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</si>
  <si>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</si>
  <si>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</si>
  <si>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</si>
  <si>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</si>
  <si>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</si>
  <si>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</si>
  <si>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</si>
  <si>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</si>
  <si>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</si>
  <si>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</si>
  <si>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</si>
  <si>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</si>
  <si>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</si>
  <si>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</si>
  <si>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</si>
  <si>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</si>
  <si>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</si>
  <si>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</si>
  <si>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</si>
  <si>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</si>
  <si>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</si>
  <si>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</si>
  <si>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</si>
  <si>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</si>
  <si>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</si>
  <si>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</si>
  <si>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</si>
  <si>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</si>
  <si>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</si>
  <si>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</si>
  <si>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</si>
  <si>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</si>
  <si>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</si>
  <si>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</si>
  <si>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</si>
  <si>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</si>
  <si>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</si>
  <si>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</si>
  <si>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</si>
  <si>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</si>
  <si>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</si>
  <si>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</si>
  <si>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</si>
  <si>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</si>
  <si>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</si>
  <si>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</si>
  <si>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</si>
  <si>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</si>
  <si>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</si>
  <si>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</si>
  <si>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</si>
  <si>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</si>
  <si>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</si>
  <si>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</si>
  <si>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</si>
  <si>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</si>
  <si>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</si>
  <si>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</si>
  <si>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</si>
  <si>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</si>
  <si>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</si>
  <si>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</si>
  <si>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</si>
  <si>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</si>
  <si>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</si>
  <si>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</si>
  <si>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</si>
  <si>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</si>
  <si>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</si>
  <si>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</si>
  <si>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</si>
  <si>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</si>
  <si>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</si>
  <si>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</si>
  <si>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</si>
  <si>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</si>
  <si>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</si>
  <si>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</si>
  <si>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</si>
  <si>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</si>
  <si>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</si>
  <si>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</si>
  <si>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</si>
  <si>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</si>
  <si>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</si>
  <si>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</si>
  <si>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</si>
  <si>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</si>
  <si>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</si>
  <si>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</si>
  <si>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</si>
  <si>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</si>
  <si>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</si>
  <si>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</si>
  <si>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</si>
  <si>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</si>
  <si>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</si>
  <si>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</si>
  <si>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</si>
  <si>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</si>
  <si>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</si>
  <si>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</si>
  <si>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</si>
  <si>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</si>
  <si>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</si>
  <si>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</si>
  <si>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</si>
  <si>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</si>
  <si>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</si>
  <si>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</si>
  <si>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</si>
  <si>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</si>
  <si>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</si>
  <si>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</si>
  <si>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</si>
  <si>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</si>
  <si>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</si>
  <si>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</si>
  <si>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</si>
  <si>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</si>
  <si>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</si>
  <si>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</si>
  <si>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</si>
  <si>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</si>
  <si>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</si>
  <si>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</si>
  <si>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</si>
  <si>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</si>
  <si>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</si>
  <si>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</si>
  <si>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</si>
  <si>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</si>
  <si>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</si>
  <si>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</si>
  <si>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</si>
  <si>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</si>
  <si>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</si>
  <si>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</si>
  <si>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</si>
  <si>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</si>
  <si>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</si>
  <si>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</si>
  <si>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</si>
  <si>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</si>
  <si>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</si>
  <si>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</si>
  <si>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</si>
  <si>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</si>
  <si>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</si>
  <si>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</si>
  <si>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</si>
  <si>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</si>
  <si>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</si>
  <si>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</si>
  <si>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</si>
  <si>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</si>
  <si>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</si>
  <si>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</si>
  <si>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</si>
  <si>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</si>
  <si>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</si>
  <si>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</si>
  <si>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</si>
  <si>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</si>
  <si>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</si>
  <si>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</si>
  <si>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</si>
  <si>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</si>
  <si>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</si>
  <si>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</si>
  <si>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</si>
  <si>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</si>
  <si>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</si>
  <si>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</si>
  <si>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</si>
  <si>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</si>
  <si>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</si>
  <si>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</si>
  <si>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</si>
  <si>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</si>
  <si>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</si>
  <si>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</si>
  <si>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</si>
  <si>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</si>
  <si>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</si>
  <si>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</si>
  <si>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</si>
  <si>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</si>
  <si>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</si>
  <si>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</si>
  <si>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</si>
  <si>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</si>
  <si>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</si>
  <si>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</si>
  <si>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</si>
  <si>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</si>
  <si>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</si>
  <si>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</si>
  <si>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</si>
  <si>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</si>
  <si>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</si>
  <si>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</si>
  <si>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</si>
  <si>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</si>
  <si>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</si>
  <si>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</si>
  <si>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</si>
  <si>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</si>
  <si>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</si>
  <si>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</si>
  <si>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</si>
  <si>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</si>
  <si>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</si>
  <si>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</si>
  <si>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</si>
  <si>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</si>
  <si>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</si>
  <si>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</si>
  <si>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</si>
  <si>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</si>
  <si>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</si>
  <si>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</si>
  <si>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</si>
  <si>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</si>
  <si>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</si>
  <si>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</si>
  <si>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</si>
  <si>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</si>
  <si>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</si>
  <si>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</si>
  <si>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</si>
  <si>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</si>
  <si>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</si>
  <si>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</si>
  <si>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</si>
  <si>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</si>
  <si>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</si>
  <si>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</si>
  <si>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</si>
  <si>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</si>
  <si>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</si>
  <si>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</si>
  <si>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</si>
  <si>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</si>
  <si>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</si>
  <si>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</si>
  <si>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</si>
  <si>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</si>
  <si>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</si>
  <si>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</si>
  <si>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</si>
  <si>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</si>
  <si>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</si>
  <si>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</si>
  <si>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</si>
  <si>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</si>
  <si>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</si>
  <si>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</si>
  <si>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</si>
  <si>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</si>
  <si>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</si>
  <si>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</si>
  <si>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</si>
  <si>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</si>
  <si>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</si>
  <si>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</si>
  <si>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</si>
  <si>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</si>
  <si>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</si>
  <si>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</si>
  <si>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</si>
  <si>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</si>
  <si>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</si>
  <si>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</si>
  <si>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</si>
  <si>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</si>
  <si>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</si>
  <si>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</si>
  <si>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</si>
  <si>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</si>
  <si>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</si>
  <si>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</si>
  <si>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</si>
  <si>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</si>
  <si>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</si>
  <si>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</si>
  <si>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</si>
  <si>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</si>
  <si>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</si>
  <si>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</si>
  <si>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</si>
  <si>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</si>
  <si>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</si>
  <si>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</si>
  <si>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</si>
  <si>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</si>
  <si>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</si>
  <si>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</si>
  <si>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</si>
  <si>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</si>
  <si>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</si>
  <si>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</si>
  <si>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</si>
  <si>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</si>
  <si>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</si>
  <si>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</si>
  <si>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</si>
  <si>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</si>
  <si>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</si>
  <si>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</si>
  <si>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</si>
  <si>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</si>
  <si>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</si>
  <si>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</si>
  <si>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</si>
  <si>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</si>
  <si>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</si>
  <si>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</si>
  <si>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</si>
  <si>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</si>
  <si>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</si>
  <si>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</si>
  <si>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</si>
  <si>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</si>
  <si>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</si>
  <si>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</si>
  <si>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</si>
  <si>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</si>
  <si>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</si>
  <si>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</si>
  <si>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</si>
  <si>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</si>
  <si>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</si>
  <si>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</si>
  <si>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</si>
  <si>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</si>
  <si>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</si>
  <si>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</si>
  <si>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</si>
  <si>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</si>
  <si>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</si>
  <si>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</si>
  <si>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</si>
  <si>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</si>
  <si>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</si>
  <si>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</si>
  <si>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</si>
  <si>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</si>
  <si>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</si>
  <si>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</si>
  <si>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</si>
  <si>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</si>
  <si>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</si>
  <si>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</si>
  <si>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</si>
  <si>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</si>
  <si>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</si>
  <si>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</si>
  <si>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</si>
  <si>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</si>
  <si>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</si>
  <si>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</si>
  <si>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</si>
  <si>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</si>
  <si>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</si>
  <si>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</si>
  <si>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</si>
  <si>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</si>
  <si>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</si>
  <si>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</si>
  <si>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</si>
  <si>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</si>
  <si>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</si>
  <si>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</si>
  <si>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</si>
  <si>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</si>
  <si>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</si>
  <si>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</si>
  <si>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</si>
  <si>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</si>
  <si>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</si>
  <si>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</si>
  <si>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</si>
  <si>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</si>
  <si>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</si>
  <si>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</si>
  <si>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</si>
  <si>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</si>
  <si>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</si>
  <si>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</si>
  <si>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</si>
  <si>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</si>
  <si>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</si>
  <si>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</si>
  <si>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</si>
  <si>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</si>
  <si>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</si>
  <si>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</si>
  <si>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</si>
  <si>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</si>
  <si>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</si>
  <si>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</si>
  <si>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</si>
  <si>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</si>
  <si>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</si>
  <si>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</si>
  <si>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</si>
  <si>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</si>
  <si>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</si>
  <si>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</si>
  <si>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</si>
  <si>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</si>
  <si>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</si>
  <si>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</si>
  <si>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</si>
  <si>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</si>
  <si>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</si>
  <si>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</si>
  <si>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</si>
  <si>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</si>
  <si>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</si>
  <si>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</si>
  <si>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</si>
  <si>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</si>
  <si>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</si>
  <si>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</si>
  <si>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</si>
  <si>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</si>
  <si>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</si>
  <si>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</si>
  <si>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</si>
  <si>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</si>
  <si>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</si>
  <si>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</si>
  <si>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</si>
  <si>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</si>
  <si>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</si>
  <si>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</si>
  <si>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</si>
  <si>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</si>
  <si>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</si>
  <si>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</si>
  <si>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</si>
  <si>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</si>
  <si>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</si>
  <si>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</si>
  <si>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</si>
  <si>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</si>
  <si>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</si>
  <si>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</si>
  <si>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</si>
  <si>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</si>
  <si>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</si>
  <si>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</si>
  <si>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</si>
  <si>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</si>
  <si>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</si>
  <si>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</si>
  <si>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</si>
  <si>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</si>
  <si>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</si>
  <si>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</si>
  <si>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</si>
  <si>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</si>
  <si>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</si>
  <si>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</si>
  <si>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</si>
  <si>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</si>
  <si>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</si>
  <si>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</si>
  <si>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</si>
  <si>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</si>
  <si>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</si>
  <si>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</si>
  <si>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</si>
  <si>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</si>
  <si>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</si>
  <si>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</si>
  <si>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</si>
  <si>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</si>
  <si>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</si>
  <si>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</si>
  <si>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</si>
  <si>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</si>
  <si>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</si>
  <si>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</si>
  <si>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</si>
  <si>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</si>
  <si>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</si>
  <si>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</si>
  <si>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</si>
  <si>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</si>
  <si>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</si>
  <si>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</si>
  <si>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</si>
  <si>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</si>
  <si>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</si>
  <si>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</si>
  <si>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</si>
  <si>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</si>
  <si>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</si>
  <si>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</si>
  <si>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</si>
  <si>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</si>
  <si>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</si>
  <si>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</si>
  <si>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</si>
  <si>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</si>
  <si>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</si>
  <si>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</si>
  <si>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</si>
  <si>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</si>
  <si>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</si>
  <si>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</si>
  <si>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</si>
  <si>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</si>
  <si>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</si>
  <si>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</si>
  <si>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</si>
  <si>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</si>
  <si>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</si>
  <si>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</si>
  <si>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</si>
  <si>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</si>
  <si>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</si>
  <si>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</si>
  <si>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</si>
  <si>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</si>
  <si>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</si>
  <si>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</si>
  <si>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</si>
  <si>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</si>
  <si>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</si>
  <si>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</si>
  <si>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</si>
  <si>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</si>
  <si>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</si>
  <si>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</si>
  <si>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</si>
  <si>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</si>
  <si>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</si>
  <si>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</si>
  <si>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</si>
  <si>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</si>
  <si>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</si>
  <si>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</si>
  <si>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</si>
  <si>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</si>
  <si>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</si>
  <si>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</si>
  <si>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</si>
  <si>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</si>
  <si>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</si>
  <si>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</si>
  <si>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</si>
  <si>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</si>
  <si>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</si>
  <si>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</si>
  <si>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</si>
  <si>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</si>
  <si>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</si>
  <si>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</si>
  <si>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</si>
  <si>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</si>
  <si>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</si>
  <si>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</si>
  <si>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</si>
  <si>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</si>
  <si>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</si>
  <si>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</si>
  <si>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</si>
  <si>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</si>
  <si>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</si>
  <si>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</si>
  <si>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</si>
  <si>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</si>
  <si>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</si>
  <si>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</si>
  <si>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</si>
  <si>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</si>
  <si>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</si>
  <si>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</si>
  <si>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</si>
  <si>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</si>
  <si>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</si>
  <si>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</si>
  <si>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</si>
  <si>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</si>
  <si>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</si>
  <si>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</si>
  <si>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</si>
  <si>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</si>
  <si>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</si>
  <si>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</si>
  <si>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</si>
  <si>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</si>
  <si>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</si>
  <si>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</si>
  <si>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</si>
  <si>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</si>
  <si>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</si>
  <si>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</si>
  <si>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</si>
  <si>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</si>
  <si>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</si>
  <si>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</si>
  <si>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</si>
  <si>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</si>
  <si>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</si>
  <si>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</si>
  <si>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</si>
  <si>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</si>
  <si>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</si>
  <si>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</si>
  <si>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</si>
  <si>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</si>
  <si>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</si>
  <si>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</si>
  <si>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</si>
  <si>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</si>
  <si>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</si>
  <si>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</si>
  <si>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</si>
  <si>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</si>
  <si>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</si>
  <si>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</si>
  <si>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</si>
  <si>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</si>
  <si>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</si>
  <si>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</si>
  <si>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</si>
  <si>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</si>
  <si>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</si>
  <si>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</si>
  <si>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</si>
  <si>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</si>
  <si>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</si>
  <si>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</si>
  <si>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</si>
  <si>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</si>
  <si>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</si>
  <si>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</si>
  <si>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</si>
  <si>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</si>
  <si>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</si>
  <si>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</si>
  <si>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</si>
  <si>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</si>
  <si>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</si>
  <si>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</si>
  <si>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</si>
  <si>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</si>
  <si>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</si>
  <si>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</si>
  <si>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</si>
  <si>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</si>
  <si>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</si>
  <si>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</si>
  <si>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</si>
  <si>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</si>
  <si>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</si>
  <si>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</si>
  <si>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</si>
  <si>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</si>
  <si>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</si>
  <si>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</si>
  <si>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</si>
  <si>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</si>
  <si>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</si>
  <si>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</si>
  <si>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</si>
  <si>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</si>
  <si>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</si>
  <si>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</si>
  <si>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</si>
  <si>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</si>
  <si>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</si>
  <si>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</si>
  <si>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</si>
  <si>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</si>
  <si>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</si>
  <si>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</si>
  <si>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</si>
  <si>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</si>
  <si>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</si>
  <si>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</si>
  <si>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</si>
  <si>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</si>
  <si>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</si>
  <si>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</si>
  <si>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</si>
  <si>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</si>
  <si>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</si>
  <si>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</si>
  <si>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</si>
  <si>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</si>
  <si>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</si>
  <si>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</si>
  <si>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</si>
  <si>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</si>
  <si>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</si>
  <si>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</si>
  <si>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</si>
  <si>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</si>
  <si>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</si>
  <si>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</si>
  <si>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</si>
  <si>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</si>
  <si>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</si>
  <si>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</si>
  <si>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</si>
  <si>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</si>
  <si>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</si>
  <si>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</si>
  <si>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</si>
  <si>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</si>
  <si>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</si>
  <si>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</si>
  <si>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</si>
  <si>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</si>
  <si>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</si>
  <si>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</si>
  <si>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</si>
  <si>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</si>
  <si>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</si>
  <si>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</si>
  <si>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</si>
  <si>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</si>
  <si>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</si>
  <si>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</si>
  <si>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</si>
  <si>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</si>
  <si>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</si>
  <si>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</si>
  <si>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</si>
  <si>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</si>
  <si>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</si>
  <si>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</si>
  <si>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</si>
  <si>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</si>
  <si>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</si>
  <si>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</si>
  <si>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</si>
  <si>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</si>
  <si>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</si>
  <si>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</si>
  <si>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</si>
  <si>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</si>
  <si>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</si>
  <si>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</si>
  <si>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</si>
  <si>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</si>
  <si>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</si>
  <si>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</si>
  <si>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</si>
  <si>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</si>
  <si>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</si>
  <si>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</si>
  <si>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</si>
  <si>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</si>
  <si>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</si>
  <si>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</si>
  <si>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</si>
  <si>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</si>
  <si>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</si>
  <si>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</si>
  <si>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</si>
  <si>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</si>
  <si>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</si>
  <si>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</si>
  <si>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</si>
  <si>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</si>
  <si>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</si>
  <si>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</si>
  <si>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</si>
  <si>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</si>
  <si>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</si>
  <si>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</si>
  <si>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</si>
  <si>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</si>
  <si>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</si>
  <si>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</si>
  <si>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</si>
  <si>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</si>
  <si>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</si>
  <si>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</si>
  <si>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</si>
  <si>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</si>
  <si>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</si>
  <si>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</si>
  <si>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</si>
  <si>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</si>
  <si>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</si>
  <si>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</si>
  <si>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</si>
  <si>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</si>
  <si>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</si>
  <si>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</si>
  <si>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</si>
  <si>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</si>
  <si>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</si>
  <si>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</si>
  <si>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</si>
  <si>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</si>
  <si>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</si>
  <si>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</si>
  <si>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</si>
  <si>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</si>
  <si>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</si>
  <si>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</si>
  <si>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</si>
  <si>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</si>
  <si>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</si>
  <si>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</si>
  <si>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</si>
  <si>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</si>
  <si>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</si>
  <si>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</si>
  <si>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</si>
  <si>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</si>
  <si>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</si>
  <si>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</si>
  <si>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</si>
  <si>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</si>
  <si>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</si>
  <si>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</si>
  <si>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</si>
  <si>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</si>
  <si>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</si>
  <si>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</si>
  <si>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</si>
  <si>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</si>
  <si>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</si>
  <si>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</si>
  <si>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</si>
  <si>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</si>
  <si>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</si>
  <si>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</si>
  <si>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</si>
  <si>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</si>
  <si>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</si>
  <si>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</si>
  <si>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</si>
  <si>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</si>
  <si>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</si>
  <si>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</si>
  <si>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</si>
  <si>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</si>
  <si>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</si>
  <si>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</si>
  <si>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</si>
  <si>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</si>
  <si>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</si>
  <si>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</si>
  <si>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</si>
  <si>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</si>
  <si>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</si>
  <si>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</si>
  <si>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</si>
  <si>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</si>
  <si>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</si>
  <si>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</si>
  <si>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</si>
  <si>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</si>
  <si>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</si>
  <si>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</si>
  <si>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</si>
  <si>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</si>
  <si>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</si>
  <si>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</si>
  <si>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</si>
  <si>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</si>
  <si>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</si>
  <si>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</si>
  <si>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</si>
  <si>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</si>
  <si>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</si>
  <si>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</si>
  <si>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</si>
  <si>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</si>
  <si>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</si>
  <si>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</si>
  <si>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</si>
  <si>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</si>
  <si>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</si>
  <si>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</si>
  <si>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</si>
  <si>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</si>
  <si>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</si>
  <si>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</si>
  <si>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</si>
  <si>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</si>
  <si>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</si>
  <si>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</si>
  <si>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</si>
  <si>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</si>
  <si>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</si>
  <si>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</si>
  <si>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</si>
  <si>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</si>
  <si>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</si>
  <si>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</si>
  <si>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</si>
  <si>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</si>
  <si>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</si>
  <si>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</si>
  <si>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</si>
  <si>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</si>
  <si>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</si>
  <si>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</si>
  <si>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</si>
  <si>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</si>
  <si>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</si>
  <si>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</si>
  <si>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</si>
  <si>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</si>
  <si>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</si>
  <si>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</si>
  <si>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</si>
  <si>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</si>
  <si>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</si>
  <si>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</si>
  <si>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</si>
  <si>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</si>
  <si>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</si>
  <si>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</si>
  <si>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</si>
  <si>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</si>
  <si>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</si>
  <si>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</si>
  <si>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</si>
  <si>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</si>
  <si>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</si>
  <si>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</si>
  <si>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</si>
  <si>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</si>
  <si>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</si>
  <si>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</si>
  <si>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</si>
  <si>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</si>
  <si>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</si>
  <si>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</si>
  <si>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</si>
  <si>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</si>
  <si>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</si>
  <si>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</si>
  <si>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</si>
  <si>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</si>
  <si>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</si>
  <si>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</si>
  <si>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</si>
  <si>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</si>
  <si>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</si>
  <si>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</si>
  <si>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</si>
  <si>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</si>
  <si>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</si>
  <si>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</si>
  <si>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</si>
  <si>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</si>
  <si>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</si>
  <si>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</si>
  <si>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</si>
  <si>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</si>
  <si>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</si>
  <si>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</si>
  <si>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</si>
  <si>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</si>
  <si>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</si>
  <si>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</si>
  <si>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</si>
  <si>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</si>
  <si>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</si>
  <si>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</si>
  <si>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</si>
  <si>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</si>
  <si>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</si>
  <si>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</si>
  <si>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</si>
  <si>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</si>
  <si>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</si>
  <si>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</si>
  <si>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</si>
  <si>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</si>
  <si>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</si>
  <si>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</si>
  <si>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</si>
  <si>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</si>
  <si>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</si>
  <si>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</si>
  <si>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</si>
  <si>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</si>
  <si>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</si>
  <si>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</si>
  <si>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</si>
  <si>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</si>
  <si>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</si>
  <si>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</si>
  <si>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</si>
  <si>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</si>
  <si>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</si>
  <si>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</si>
  <si>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</si>
  <si>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</si>
  <si>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</si>
  <si>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</si>
  <si>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</si>
  <si>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</si>
  <si>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</si>
  <si>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</si>
  <si>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</si>
  <si>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</si>
  <si>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</si>
  <si>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</si>
  <si>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</si>
  <si>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</si>
  <si>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</si>
  <si>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</si>
  <si>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</si>
  <si>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</si>
  <si>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</si>
  <si>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</si>
  <si>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</si>
  <si>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</si>
  <si>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</si>
  <si>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</si>
  <si>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</si>
  <si>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</si>
  <si>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</si>
  <si>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</si>
  <si>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</si>
  <si>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</si>
  <si>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</si>
  <si>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</si>
  <si>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</si>
  <si>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</si>
  <si>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</si>
  <si>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</si>
  <si>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</si>
  <si>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</si>
  <si>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</si>
  <si>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</si>
  <si>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</si>
  <si>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</si>
  <si>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</si>
  <si>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</si>
  <si>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</si>
  <si>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</si>
  <si>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</si>
  <si>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</si>
  <si>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</si>
  <si>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</si>
  <si>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</si>
  <si>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</si>
  <si>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</si>
  <si>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</si>
  <si>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</si>
  <si>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</si>
  <si>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</si>
  <si>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</si>
  <si>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</si>
  <si>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</si>
  <si>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</si>
  <si>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</si>
  <si>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</si>
  <si>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</si>
  <si>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</si>
  <si>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</si>
  <si>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</si>
  <si>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</si>
  <si>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</si>
  <si>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</si>
  <si>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</si>
  <si>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</si>
  <si>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</si>
  <si>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</si>
  <si>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</si>
  <si>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</si>
  <si>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</si>
  <si>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</si>
  <si>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</si>
  <si>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</si>
  <si>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</si>
  <si>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</si>
  <si>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</si>
  <si>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</si>
  <si>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</si>
  <si>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</si>
  <si>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</si>
  <si>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</si>
  <si>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</si>
  <si>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</si>
  <si>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</si>
  <si>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</si>
  <si>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</si>
  <si>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</si>
  <si>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</si>
  <si>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</si>
  <si>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</si>
  <si>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</si>
  <si>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</si>
  <si>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</si>
  <si>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</si>
  <si>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</si>
  <si>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</si>
  <si>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</si>
  <si>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</si>
  <si>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</si>
  <si>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</si>
  <si>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</si>
  <si>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</si>
  <si>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</si>
  <si>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</si>
  <si>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</si>
  <si>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</si>
  <si>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</si>
  <si>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</si>
  <si>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</si>
  <si>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</si>
  <si>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</si>
  <si>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</si>
  <si>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</si>
  <si>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</si>
  <si>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</si>
  <si>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</si>
  <si>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</si>
  <si>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</si>
  <si>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</si>
  <si>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</si>
  <si>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</si>
  <si>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</si>
  <si>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</si>
  <si>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</si>
  <si>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</si>
  <si>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</si>
  <si>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</si>
  <si>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</si>
  <si>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</si>
  <si>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</si>
  <si>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</si>
  <si>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</si>
  <si>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</si>
  <si>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</si>
  <si>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</si>
  <si>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</si>
  <si>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</si>
  <si>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</si>
  <si>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</si>
  <si>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</si>
  <si>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</si>
  <si>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</si>
  <si>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</si>
  <si>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</si>
  <si>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</si>
  <si>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</si>
  <si>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</si>
  <si>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</si>
  <si>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</si>
  <si>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</si>
  <si>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</si>
  <si>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</si>
  <si>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</si>
  <si>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</si>
  <si>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</si>
  <si>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</si>
  <si>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</si>
  <si>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</si>
  <si>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</si>
  <si>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</si>
  <si>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</si>
  <si>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</si>
  <si>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</si>
  <si>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</si>
  <si>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</si>
  <si>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</si>
  <si>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</si>
  <si>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</si>
  <si>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</si>
  <si>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</si>
  <si>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</si>
  <si>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</si>
  <si>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</si>
  <si>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</si>
  <si>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</si>
  <si>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</si>
  <si>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</si>
  <si>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</si>
  <si>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</si>
  <si>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</si>
  <si>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</si>
  <si>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</si>
  <si>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</si>
  <si>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</si>
  <si>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</si>
  <si>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</si>
  <si>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</si>
  <si>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</si>
  <si>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</si>
  <si>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</si>
  <si>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</si>
  <si>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</si>
  <si>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</si>
  <si>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</si>
  <si>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</si>
  <si>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</si>
  <si>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</si>
  <si>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</si>
  <si>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</si>
  <si>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</si>
  <si>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</si>
  <si>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</si>
  <si>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</si>
  <si>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</si>
  <si>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</si>
  <si>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</si>
  <si>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</si>
  <si>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</si>
  <si>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</si>
  <si>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</si>
  <si>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</si>
  <si>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</si>
  <si>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</si>
  <si>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</si>
  <si>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</si>
  <si>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</si>
  <si>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</si>
  <si>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</si>
  <si>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</si>
  <si>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</si>
  <si>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</si>
  <si>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</si>
  <si>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</si>
  <si>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</si>
  <si>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</si>
  <si>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</si>
  <si>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</si>
  <si>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</si>
  <si>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</si>
  <si>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</si>
  <si>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</si>
  <si>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</si>
  <si>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</si>
  <si>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</si>
  <si>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</si>
  <si>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</si>
  <si>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</si>
  <si>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</si>
  <si>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</si>
  <si>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</si>
  <si>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</si>
  <si>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</si>
  <si>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</si>
  <si>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</si>
  <si>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</si>
  <si>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</si>
  <si>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</si>
  <si>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</si>
  <si>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</si>
  <si>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</si>
  <si>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</si>
  <si>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</si>
  <si>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</si>
  <si>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</si>
  <si>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</si>
  <si>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</si>
  <si>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</si>
  <si>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</si>
  <si>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</si>
  <si>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</si>
  <si>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</si>
  <si>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</si>
  <si>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</si>
  <si>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</si>
  <si>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</si>
  <si>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</si>
  <si>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</si>
  <si>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</si>
  <si>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</si>
  <si>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</si>
  <si>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</si>
  <si>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</si>
  <si>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</si>
  <si>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</si>
  <si>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</si>
  <si>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</si>
  <si>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</si>
  <si>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</si>
  <si>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</si>
  <si>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</si>
  <si>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</si>
  <si>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</si>
  <si>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</si>
  <si>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</si>
  <si>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</si>
  <si>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</si>
  <si>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</si>
  <si>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</si>
  <si>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</si>
  <si>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</si>
  <si>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</si>
  <si>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</si>
  <si>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</si>
  <si>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</si>
  <si>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</si>
  <si>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</si>
  <si>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</si>
  <si>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</si>
  <si>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</si>
  <si>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</si>
  <si>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</si>
  <si>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</si>
  <si>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</si>
  <si>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</si>
  <si>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</si>
  <si>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</si>
  <si>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</si>
  <si>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</si>
  <si>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</si>
  <si>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</si>
  <si>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</si>
  <si>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</si>
  <si>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</si>
  <si>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</si>
  <si>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</si>
  <si>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</si>
  <si>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</si>
  <si>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</si>
  <si>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</si>
  <si>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</si>
  <si>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</si>
  <si>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</si>
  <si>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</si>
  <si>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</si>
  <si>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</si>
  <si>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</si>
  <si>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</si>
  <si>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</si>
  <si>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</si>
  <si>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</si>
  <si>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</si>
  <si>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</si>
  <si>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</si>
  <si>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</si>
  <si>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</si>
  <si>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</si>
  <si>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</si>
  <si>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</si>
  <si>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</si>
  <si>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</si>
  <si>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</si>
  <si>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</si>
  <si>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</si>
  <si>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</si>
  <si>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</si>
  <si>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</si>
  <si>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</si>
  <si>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</si>
  <si>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</si>
  <si>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</si>
  <si>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</si>
  <si>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</si>
  <si>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</si>
  <si>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</si>
  <si>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</si>
  <si>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</si>
  <si>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</si>
  <si>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</si>
  <si>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</si>
  <si>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</si>
  <si>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</si>
  <si>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</si>
  <si>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</si>
  <si>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</si>
  <si>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</si>
  <si>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</si>
  <si>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</si>
  <si>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</si>
  <si>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</si>
  <si>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</si>
  <si>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</si>
  <si>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</si>
  <si>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</si>
  <si>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</si>
  <si>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</si>
  <si>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</si>
  <si>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</si>
  <si>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</si>
  <si>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</si>
  <si>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</si>
  <si>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</si>
  <si>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</si>
  <si>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</si>
  <si>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</si>
  <si>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</si>
  <si>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</si>
  <si>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</si>
  <si>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</si>
  <si>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</si>
  <si>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</si>
  <si>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</si>
  <si>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</si>
  <si>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</si>
  <si>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</si>
  <si>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</si>
  <si>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</si>
  <si>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</si>
  <si>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</si>
  <si>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</si>
  <si>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</si>
  <si>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</si>
  <si>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</si>
  <si>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</si>
  <si>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</si>
  <si>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</si>
  <si>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</si>
  <si>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</si>
  <si>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</si>
  <si>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</si>
  <si>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</si>
  <si>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</si>
  <si>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</si>
  <si>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</si>
  <si>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</si>
  <si>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</si>
  <si>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</si>
  <si>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</si>
  <si>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</si>
  <si>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</si>
  <si>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</si>
  <si>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</si>
  <si>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</si>
  <si>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</si>
  <si>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</si>
  <si>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</si>
  <si>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</si>
  <si>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</si>
  <si>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</si>
  <si>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</si>
  <si>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</si>
  <si>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</si>
  <si>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</si>
  <si>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</si>
  <si>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</si>
  <si>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</si>
  <si>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</si>
  <si>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</si>
  <si>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</si>
  <si>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</si>
  <si>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</si>
  <si>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</si>
  <si>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</si>
  <si>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</si>
  <si>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</si>
  <si>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</si>
  <si>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</si>
  <si>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</si>
  <si>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</si>
  <si>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</si>
  <si>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</si>
  <si>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</si>
  <si>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</si>
  <si>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</si>
  <si>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</si>
  <si>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</si>
  <si>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</si>
  <si>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</si>
  <si>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</si>
  <si>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</si>
  <si>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</si>
  <si>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</si>
  <si>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</si>
  <si>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</si>
  <si>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</si>
  <si>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</si>
  <si>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</si>
  <si>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</si>
  <si>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</si>
  <si>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</si>
  <si>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</si>
  <si>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</si>
  <si>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</si>
  <si>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</si>
  <si>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</si>
  <si>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</si>
  <si>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</si>
  <si>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</si>
  <si>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</si>
  <si>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</si>
  <si>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</si>
  <si>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</si>
  <si>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</si>
  <si>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</si>
  <si>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</si>
  <si>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</si>
  <si>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</si>
  <si>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</si>
  <si>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</si>
  <si>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</si>
  <si>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</si>
  <si>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</si>
  <si>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</si>
  <si>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</si>
  <si>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</si>
  <si>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</si>
  <si>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</si>
  <si>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</si>
  <si>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</si>
  <si>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</si>
  <si>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</si>
  <si>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</si>
  <si>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</si>
  <si>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</si>
  <si>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</si>
  <si>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</si>
  <si>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</si>
  <si>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</si>
  <si>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</si>
  <si>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</si>
  <si>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</si>
  <si>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</si>
  <si>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</si>
  <si>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</si>
  <si>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</si>
  <si>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</si>
  <si>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</si>
  <si>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</si>
  <si>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</si>
  <si>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</si>
  <si>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</si>
  <si>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</si>
  <si>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</si>
  <si>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</si>
  <si>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</si>
  <si>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</si>
  <si>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</si>
  <si>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</si>
  <si>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</si>
  <si>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</si>
  <si>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</si>
  <si>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</si>
  <si>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</si>
  <si>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</si>
  <si>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</si>
  <si>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</si>
  <si>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</si>
  <si>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</si>
  <si>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</si>
  <si>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</si>
  <si>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</si>
  <si>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</si>
  <si>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</si>
  <si>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</si>
  <si>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</si>
  <si>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</si>
  <si>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</si>
  <si>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</si>
  <si>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</si>
  <si>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</si>
  <si>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</si>
  <si>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</si>
  <si>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</si>
  <si>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</si>
  <si>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</si>
  <si>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</si>
  <si>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</si>
  <si>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</si>
  <si>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</si>
  <si>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</si>
  <si>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</si>
  <si>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</si>
  <si>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</si>
  <si>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</si>
  <si>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</si>
  <si>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</si>
  <si>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</si>
  <si>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</si>
  <si>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</si>
  <si>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</si>
  <si>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</si>
  <si>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</si>
  <si>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</si>
  <si>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</si>
  <si>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</si>
  <si>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</si>
  <si>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</si>
  <si>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</si>
  <si>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</si>
  <si>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</si>
  <si>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</si>
  <si>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</si>
  <si>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</si>
  <si>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</si>
  <si>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</si>
  <si>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</si>
  <si>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</si>
  <si>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</si>
  <si>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</si>
  <si>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</si>
  <si>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</si>
  <si>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</si>
  <si>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</si>
  <si>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</si>
  <si>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</si>
  <si>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</si>
  <si>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</si>
  <si>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</si>
  <si>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</si>
  <si>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</si>
  <si>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</si>
  <si>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</si>
  <si>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</si>
  <si>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</si>
  <si>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</si>
  <si>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</si>
  <si>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</si>
  <si>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</si>
  <si>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</si>
  <si>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</si>
  <si>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</si>
  <si>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</si>
  <si>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</si>
  <si>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</si>
  <si>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</si>
  <si>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</si>
  <si>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</si>
  <si>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</si>
  <si>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</si>
  <si>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</si>
  <si>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</si>
  <si>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</si>
  <si>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</si>
  <si>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</si>
  <si>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</si>
  <si>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</si>
  <si>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</si>
  <si>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</si>
  <si>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</si>
  <si>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</si>
  <si>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</si>
  <si>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</si>
  <si>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</si>
  <si>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</si>
  <si>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</si>
  <si>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</si>
  <si>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</si>
  <si>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</si>
  <si>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</si>
  <si>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</si>
  <si>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</si>
  <si>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</si>
  <si>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</si>
  <si>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</si>
  <si>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</si>
  <si>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</si>
  <si>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</si>
  <si>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</si>
  <si>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</si>
  <si>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</si>
  <si>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</si>
  <si>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</si>
  <si>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</si>
  <si>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</si>
  <si>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</si>
  <si>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</si>
  <si>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</si>
  <si>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</si>
  <si>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</si>
  <si>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</si>
  <si>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</si>
  <si>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</si>
  <si>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</si>
  <si>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</si>
  <si>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</si>
  <si>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</si>
  <si>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</si>
  <si>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</si>
  <si>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</si>
  <si>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</si>
  <si>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</si>
  <si>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</si>
  <si>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</si>
  <si>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</si>
  <si>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</si>
  <si>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</si>
  <si>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</si>
  <si>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</si>
  <si>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</si>
  <si>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</si>
  <si>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</si>
  <si>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</si>
  <si>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</si>
  <si>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</si>
  <si>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</si>
  <si>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</si>
  <si>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</si>
  <si>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</si>
  <si>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</si>
  <si>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</si>
  <si>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</si>
  <si>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</si>
  <si>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</si>
  <si>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</si>
  <si>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</si>
  <si>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</si>
  <si>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</si>
  <si>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</si>
  <si>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</si>
  <si>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</si>
  <si>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</si>
  <si>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</si>
  <si>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</si>
  <si>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</si>
  <si>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</si>
  <si>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</si>
  <si>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</si>
  <si>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</si>
  <si>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</si>
  <si>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</si>
  <si>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</si>
  <si>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</si>
  <si>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</si>
  <si>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</si>
  <si>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</si>
  <si>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</si>
  <si>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</si>
  <si>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</si>
  <si>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</si>
  <si>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</si>
  <si>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</si>
  <si>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</si>
  <si>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</si>
  <si>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</si>
  <si>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</si>
  <si>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</si>
  <si>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</si>
  <si>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</si>
  <si>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</si>
  <si>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</si>
  <si>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</si>
  <si>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</si>
  <si>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</si>
  <si>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</si>
  <si>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</si>
  <si>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</si>
  <si>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</si>
  <si>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</si>
  <si>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</si>
  <si>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</si>
  <si>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</si>
  <si>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</si>
  <si>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</si>
  <si>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</si>
  <si>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</si>
  <si>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</si>
  <si>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</si>
  <si>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</si>
  <si>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</si>
  <si>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</si>
  <si>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</si>
  <si>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</si>
  <si>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</si>
  <si>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</si>
  <si>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</si>
  <si>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</si>
  <si>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</si>
  <si>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</si>
  <si>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</si>
  <si>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</si>
  <si>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</si>
  <si>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</si>
  <si>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</si>
  <si>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</si>
  <si>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</si>
  <si>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</si>
  <si>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</si>
  <si>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</si>
  <si>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</si>
  <si>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</si>
  <si>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</si>
  <si>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</si>
  <si>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</si>
  <si>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</si>
  <si>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</si>
  <si>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</si>
  <si>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</si>
  <si>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</si>
  <si>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</si>
  <si>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</si>
  <si>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</si>
  <si>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</si>
  <si>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</si>
  <si>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</si>
  <si>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</si>
  <si>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</si>
  <si>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</si>
  <si>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</si>
  <si>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</si>
  <si>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</si>
  <si>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</si>
  <si>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</si>
  <si>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</si>
  <si>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</si>
  <si>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</si>
  <si>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</si>
  <si>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</si>
  <si>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</si>
  <si>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</si>
  <si>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</si>
  <si>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</si>
  <si>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</si>
  <si>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</si>
  <si>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</si>
  <si>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</si>
  <si>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</si>
  <si>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</si>
  <si>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</si>
  <si>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</si>
  <si>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</si>
  <si>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</si>
  <si>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</si>
  <si>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</si>
  <si>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</si>
  <si>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</si>
  <si>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</si>
  <si>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</si>
  <si>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</si>
  <si>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</si>
  <si>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</si>
  <si>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</si>
  <si>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</si>
  <si>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</si>
  <si>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</si>
  <si>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</si>
  <si>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</si>
  <si>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</si>
  <si>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</si>
  <si>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</si>
  <si>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</si>
  <si>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</si>
  <si>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</si>
  <si>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</si>
  <si>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</si>
  <si>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</si>
  <si>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</si>
  <si>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</si>
  <si>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</si>
  <si>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</si>
  <si>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</si>
  <si>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</si>
  <si>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</si>
  <si>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</si>
  <si>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</si>
  <si>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</si>
  <si>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</si>
  <si>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</si>
  <si>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</si>
  <si>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</si>
  <si>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</si>
  <si>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</si>
  <si>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</si>
  <si>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</si>
  <si>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</si>
  <si>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</si>
  <si>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</si>
  <si>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</si>
  <si>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</si>
  <si>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</si>
  <si>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</si>
  <si>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</si>
  <si>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</si>
  <si>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</si>
  <si>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</si>
  <si>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</si>
  <si>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</si>
  <si>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</si>
  <si>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</si>
  <si>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</si>
  <si>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</si>
  <si>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</si>
  <si>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</si>
  <si>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</si>
  <si>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</si>
  <si>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</si>
  <si>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</si>
  <si>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</si>
  <si>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</si>
  <si>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</si>
  <si>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</si>
  <si>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</si>
  <si>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</si>
  <si>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</si>
  <si>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</si>
  <si>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</si>
  <si>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</si>
  <si>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</si>
  <si>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</si>
  <si>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</si>
  <si>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</si>
  <si>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</si>
  <si>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</si>
  <si>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</si>
  <si>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</si>
  <si>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</si>
  <si>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</si>
  <si>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</si>
  <si>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</si>
  <si>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</si>
  <si>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</si>
  <si>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</si>
  <si>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</si>
  <si>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</si>
  <si>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</si>
  <si>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</si>
  <si>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</si>
  <si>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</si>
  <si>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</si>
  <si>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</si>
  <si>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</si>
  <si>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</si>
  <si>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</si>
  <si>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</si>
  <si>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</si>
  <si>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</si>
  <si>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</si>
  <si>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</si>
  <si>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</si>
  <si>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</si>
  <si>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</si>
  <si>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</si>
  <si>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</si>
  <si>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</si>
  <si>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</si>
  <si>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</si>
  <si>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</si>
  <si>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</si>
  <si>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</si>
  <si>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</si>
  <si>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</si>
  <si>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</si>
  <si>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</si>
  <si>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</si>
  <si>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</si>
  <si>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</si>
  <si>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</si>
  <si>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</si>
  <si>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</si>
  <si>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</si>
  <si>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</si>
  <si>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</si>
  <si>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</si>
  <si>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</si>
  <si>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</si>
  <si>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</si>
  <si>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</si>
  <si>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</si>
  <si>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</si>
  <si>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</si>
  <si>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</si>
  <si>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</si>
  <si>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</si>
  <si>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</si>
  <si>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</si>
  <si>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</si>
  <si>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</si>
  <si>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</si>
  <si>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</si>
  <si>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</si>
  <si>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</si>
  <si>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</si>
  <si>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</si>
  <si>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</si>
  <si>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</si>
  <si>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</si>
  <si>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</si>
  <si>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</si>
  <si>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</si>
  <si>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</si>
  <si>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</si>
  <si>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</si>
  <si>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</si>
  <si>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</si>
  <si>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</si>
  <si>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</si>
  <si>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</si>
  <si>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</si>
  <si>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</si>
  <si>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</si>
  <si>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</si>
  <si>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</si>
  <si>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</si>
  <si>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</si>
  <si>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</si>
  <si>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</si>
  <si>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</si>
  <si>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</si>
  <si>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</si>
  <si>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</si>
  <si>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</si>
  <si>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</si>
  <si>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</si>
  <si>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</si>
  <si>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</si>
  <si>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</si>
  <si>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</si>
  <si>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</si>
  <si>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</si>
  <si>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</si>
  <si>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</si>
  <si>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</si>
  <si>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</si>
  <si>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</si>
  <si>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</si>
  <si>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</si>
  <si>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</si>
  <si>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</si>
  <si>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</si>
  <si>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</si>
  <si>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</si>
  <si>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</si>
  <si>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</si>
  <si>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</si>
  <si>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</si>
  <si>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</si>
  <si>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</si>
  <si>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</si>
  <si>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</si>
  <si>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</si>
  <si>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</si>
  <si>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</si>
  <si>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</si>
  <si>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</si>
  <si>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</si>
  <si>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</si>
  <si>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</si>
  <si>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</si>
  <si>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</si>
  <si>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</si>
  <si>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</si>
  <si>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</si>
  <si>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</si>
  <si>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</si>
  <si>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</si>
  <si>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</si>
  <si>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</si>
  <si>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</si>
  <si>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</si>
  <si>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</si>
  <si>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</si>
  <si>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</si>
  <si>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</si>
  <si>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</si>
  <si>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</si>
  <si>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</si>
  <si>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</si>
  <si>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</si>
  <si>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</si>
  <si>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</si>
  <si>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</si>
  <si>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</si>
  <si>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</si>
  <si>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</si>
  <si>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</si>
  <si>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</si>
  <si>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</si>
  <si>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</si>
  <si>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</si>
  <si>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</si>
  <si>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</si>
  <si>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</si>
  <si>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</si>
  <si>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</si>
  <si>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</si>
  <si>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</si>
  <si>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</si>
  <si>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</si>
  <si>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</si>
  <si>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</si>
  <si>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</si>
  <si>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</si>
  <si>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</si>
  <si>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</si>
  <si>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</si>
  <si>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</si>
  <si>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</si>
  <si>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</si>
  <si>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</si>
  <si>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</si>
  <si>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</si>
  <si>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</si>
  <si>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</si>
  <si>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</si>
  <si>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</si>
  <si>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</si>
  <si>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</si>
  <si>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</si>
  <si>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</si>
  <si>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</si>
  <si>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</si>
  <si>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</si>
  <si>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</si>
  <si>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</si>
  <si>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</si>
  <si>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</si>
  <si>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</si>
  <si>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</si>
  <si>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</si>
  <si>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</si>
  <si>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</si>
  <si>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</si>
  <si>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</si>
  <si>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</si>
  <si>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</si>
  <si>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</si>
  <si>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</si>
  <si>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</si>
  <si>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</si>
  <si>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</si>
  <si>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</si>
  <si>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</si>
  <si>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</si>
  <si>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</si>
  <si>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</si>
  <si>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</si>
  <si>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</si>
  <si>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</si>
  <si>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</si>
  <si>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</si>
  <si>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</si>
  <si>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</si>
  <si>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</si>
  <si>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</si>
  <si>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</si>
  <si>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</si>
  <si>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</si>
  <si>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</si>
  <si>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</si>
  <si>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</si>
  <si>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</si>
  <si>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</si>
  <si>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</si>
  <si>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</si>
  <si>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</si>
  <si>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</si>
  <si>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</si>
  <si>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</si>
  <si>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</si>
  <si>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</si>
  <si>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</si>
  <si>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</si>
  <si>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</si>
  <si>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</si>
  <si>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</si>
  <si>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</si>
  <si>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</si>
  <si>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</si>
  <si>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</si>
  <si>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</si>
  <si>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</si>
  <si>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</si>
  <si>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</si>
  <si>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</si>
  <si>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</si>
  <si>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</si>
  <si>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</si>
  <si>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</si>
  <si>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</si>
  <si>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</si>
  <si>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</si>
  <si>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</si>
  <si>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</si>
  <si>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</si>
  <si>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</si>
  <si>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</si>
  <si>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</si>
  <si>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</si>
  <si>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</si>
  <si>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</si>
  <si>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</si>
  <si>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</si>
  <si>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</si>
  <si>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</si>
  <si>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</si>
  <si>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</si>
  <si>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</si>
  <si>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</si>
  <si>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</si>
  <si>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</si>
  <si>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</si>
  <si>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</si>
  <si>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</si>
  <si>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</si>
  <si>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</si>
  <si>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</si>
  <si>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</si>
  <si>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</si>
  <si>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</si>
  <si>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</si>
  <si>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</si>
  <si>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</si>
  <si>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</si>
  <si>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</si>
  <si>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</si>
  <si>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</si>
  <si>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</si>
  <si>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</si>
  <si>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</si>
  <si>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</si>
  <si>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</si>
  <si>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</si>
  <si>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</si>
  <si>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</si>
  <si>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</si>
  <si>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</si>
  <si>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</si>
  <si>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</si>
  <si>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</si>
  <si>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</si>
  <si>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</si>
  <si>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</si>
  <si>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</si>
  <si>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</si>
  <si>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</si>
  <si>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</si>
  <si>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</si>
  <si>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</si>
  <si>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</si>
  <si>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</si>
  <si>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</si>
  <si>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</si>
  <si>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</si>
  <si>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</si>
  <si>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</si>
  <si>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</si>
  <si>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</si>
  <si>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</si>
  <si>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</si>
  <si>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</si>
  <si>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</si>
  <si>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</si>
  <si>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</si>
  <si>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</si>
  <si>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</si>
  <si>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</si>
  <si>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</si>
  <si>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</si>
  <si>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</si>
  <si>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</si>
  <si>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</si>
  <si>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</si>
  <si>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</si>
  <si>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</si>
  <si>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</si>
  <si>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</si>
  <si>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</si>
  <si>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</si>
  <si>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</si>
  <si>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</si>
  <si>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</si>
  <si>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</si>
  <si>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</si>
  <si>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</si>
  <si>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</si>
  <si>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</si>
  <si>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</si>
  <si>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</si>
  <si>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</si>
  <si>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</si>
  <si>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</si>
  <si>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</si>
  <si>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</si>
  <si>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</si>
  <si>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</si>
  <si>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</si>
  <si>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</si>
  <si>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</si>
  <si>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</si>
  <si>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</si>
  <si>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</si>
  <si>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</si>
  <si>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</si>
  <si>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</si>
  <si>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</si>
  <si>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</si>
  <si>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</si>
  <si>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</si>
  <si>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</si>
  <si>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</si>
  <si>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</si>
  <si>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</si>
  <si>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</si>
  <si>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</si>
  <si>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</si>
  <si>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</si>
  <si>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</si>
  <si>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</si>
  <si>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</si>
  <si>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</si>
  <si>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</si>
  <si>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</si>
  <si>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</si>
  <si>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</si>
  <si>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</si>
  <si>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</si>
  <si>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</si>
  <si>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</si>
  <si>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</si>
  <si>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</si>
  <si>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</si>
  <si>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</si>
  <si>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</si>
  <si>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</si>
  <si>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</si>
  <si>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</si>
  <si>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</si>
  <si>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</si>
  <si>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</si>
  <si>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</si>
  <si>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</si>
  <si>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</si>
  <si>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</si>
  <si>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</si>
  <si>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</si>
  <si>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</si>
  <si>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</si>
  <si>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</si>
  <si>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</si>
  <si>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</si>
  <si>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</si>
  <si>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</si>
  <si>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</si>
  <si>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</si>
  <si>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</si>
  <si>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</si>
  <si>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</si>
  <si>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</si>
  <si>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</si>
  <si>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</si>
  <si>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</si>
  <si>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</si>
  <si>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</si>
  <si>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</si>
  <si>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</si>
  <si>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</si>
  <si>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</si>
  <si>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</si>
  <si>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</si>
  <si>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</si>
  <si>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</si>
  <si>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</si>
  <si>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</si>
  <si>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</si>
  <si>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</si>
  <si>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</si>
  <si>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</si>
  <si>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</si>
  <si>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</si>
  <si>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</si>
  <si>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</si>
  <si>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</si>
  <si>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</si>
  <si>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</si>
  <si>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</si>
  <si>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</si>
  <si>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</si>
  <si>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</si>
  <si>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</si>
  <si>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</si>
  <si>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</si>
  <si>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</si>
  <si>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</si>
  <si>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</si>
  <si>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</si>
  <si>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</si>
  <si>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</si>
  <si>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</si>
  <si>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</si>
  <si>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</si>
  <si>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</si>
  <si>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</si>
  <si>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</si>
  <si>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</si>
  <si>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</si>
  <si>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</si>
  <si>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</si>
  <si>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</si>
  <si>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</si>
  <si>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</si>
  <si>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</si>
  <si>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</si>
  <si>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</si>
  <si>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</si>
  <si>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</si>
  <si>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</si>
  <si>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</si>
  <si>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</si>
  <si>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</si>
  <si>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</si>
  <si>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</si>
  <si>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</si>
  <si>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</si>
  <si>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</si>
  <si>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</si>
  <si>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</si>
  <si>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</si>
  <si>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</si>
  <si>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</si>
  <si>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</si>
  <si>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</si>
  <si>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</si>
  <si>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</si>
  <si>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</si>
  <si>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</si>
  <si>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</si>
  <si>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</si>
  <si>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</si>
  <si>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</si>
  <si>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</si>
  <si>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</si>
  <si>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</si>
  <si>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</si>
  <si>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</si>
  <si>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</si>
  <si>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</si>
  <si>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</si>
  <si>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</si>
  <si>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</si>
  <si>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</si>
  <si>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</si>
  <si>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</si>
  <si>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</si>
  <si>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</si>
  <si>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</si>
  <si>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</si>
  <si>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</si>
  <si>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</si>
  <si>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</si>
  <si>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</si>
  <si>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</si>
  <si>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</si>
  <si>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</si>
  <si>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</si>
  <si>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</si>
  <si>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</si>
  <si>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</si>
  <si>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</si>
  <si>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</si>
  <si>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</si>
  <si>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</si>
  <si>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</si>
  <si>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</si>
  <si>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</si>
  <si>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</si>
  <si>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</si>
  <si>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</si>
  <si>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</si>
  <si>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</si>
  <si>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</si>
  <si>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</si>
  <si>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</si>
  <si>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</si>
  <si>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</si>
  <si>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</si>
  <si>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</si>
  <si>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</si>
  <si>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</si>
  <si>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</si>
  <si>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</si>
  <si>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</si>
  <si>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</si>
  <si>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</si>
  <si>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</si>
  <si>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</si>
  <si>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</si>
  <si>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</si>
  <si>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</si>
  <si>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</si>
  <si>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</si>
  <si>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</si>
  <si>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</si>
  <si>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</si>
  <si>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</si>
  <si>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</si>
  <si>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</si>
  <si>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</si>
  <si>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</si>
  <si>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</si>
  <si>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</si>
  <si>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</si>
  <si>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</si>
  <si>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</si>
  <si>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</si>
  <si>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</si>
  <si>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</si>
  <si>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</si>
  <si>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</si>
  <si>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</si>
  <si>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</si>
  <si>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</si>
  <si>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</si>
  <si>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</si>
  <si>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</si>
  <si>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</si>
  <si>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</si>
  <si>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</si>
  <si>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</si>
  <si>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</si>
  <si>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</si>
  <si>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</si>
  <si>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</si>
  <si>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</si>
  <si>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</si>
  <si>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</si>
  <si>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</si>
  <si>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</si>
  <si>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</si>
  <si>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</si>
  <si>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</si>
  <si>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</si>
  <si>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</si>
  <si>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</si>
  <si>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</si>
  <si>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</si>
  <si>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</si>
  <si>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</si>
  <si>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</si>
  <si>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</si>
  <si>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</si>
  <si>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</si>
  <si>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</si>
  <si>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</si>
  <si>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</si>
  <si>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</si>
  <si>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</si>
  <si>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</si>
  <si>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</si>
  <si>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</si>
  <si>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</si>
  <si>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</si>
  <si>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</si>
  <si>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</si>
  <si>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</si>
  <si>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</si>
  <si>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</si>
  <si>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</si>
  <si>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</si>
  <si>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</si>
  <si>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</si>
  <si>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</si>
  <si>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</si>
  <si>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</si>
  <si>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</si>
  <si>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</si>
  <si>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</si>
  <si>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</si>
  <si>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</si>
  <si>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</si>
  <si>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</si>
  <si>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</si>
  <si>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</si>
  <si>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</si>
  <si>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</si>
  <si>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</si>
  <si>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</si>
  <si>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</si>
  <si>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</si>
  <si>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</si>
  <si>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</si>
  <si>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</si>
  <si>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</si>
  <si>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</si>
  <si>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</si>
  <si>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</si>
  <si>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</si>
  <si>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</si>
  <si>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</si>
  <si>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</si>
  <si>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</si>
  <si>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</si>
  <si>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</si>
  <si>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</si>
  <si>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</si>
  <si>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</si>
  <si>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</si>
  <si>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</si>
  <si>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</si>
  <si>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</si>
  <si>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</si>
  <si>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</si>
  <si>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</si>
  <si>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</si>
  <si>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</si>
  <si>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</si>
  <si>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</si>
  <si>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</si>
  <si>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</si>
  <si>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</si>
  <si>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</si>
  <si>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</si>
  <si>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</si>
  <si>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</si>
  <si>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</si>
  <si>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</si>
  <si>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</si>
  <si>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</si>
  <si>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</si>
  <si>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</si>
  <si>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</si>
  <si>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</si>
  <si>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</si>
  <si>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</si>
  <si>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</si>
  <si>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</si>
  <si>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</si>
  <si>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</si>
  <si>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</si>
  <si>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</si>
  <si>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</si>
  <si>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</si>
  <si>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</si>
  <si>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</si>
  <si>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</si>
  <si>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</si>
  <si>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</si>
  <si>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</si>
  <si>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</si>
  <si>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</si>
  <si>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</si>
  <si>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</si>
  <si>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</si>
  <si>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</si>
  <si>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</si>
  <si>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</si>
  <si>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</si>
  <si>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</si>
  <si>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</si>
  <si>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</si>
  <si>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</si>
  <si>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</si>
  <si>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</si>
  <si>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</si>
  <si>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</si>
  <si>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</si>
  <si>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</si>
  <si>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</si>
  <si>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</si>
  <si>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</si>
  <si>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</si>
  <si>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</si>
  <si>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</si>
  <si>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</si>
  <si>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</si>
  <si>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</si>
  <si>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</si>
  <si>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</si>
  <si>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</si>
  <si>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</si>
  <si>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</si>
  <si>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</si>
  <si>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</si>
  <si>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</si>
  <si>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</si>
  <si>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</si>
  <si>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</si>
  <si>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</si>
  <si>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</si>
  <si>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</si>
  <si>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</si>
  <si>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</si>
  <si>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</si>
  <si>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</si>
  <si>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</si>
  <si>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</si>
  <si>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</si>
  <si>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</si>
  <si>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</si>
  <si>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</si>
  <si>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</si>
  <si>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</si>
  <si>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</si>
  <si>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</si>
  <si>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</si>
  <si>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</si>
  <si>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</si>
  <si>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</si>
  <si>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</si>
  <si>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</si>
  <si>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</si>
  <si>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</si>
  <si>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</si>
  <si>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</si>
  <si>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</si>
  <si>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</si>
  <si>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</si>
  <si>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</si>
  <si>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</si>
  <si>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</si>
  <si>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</si>
  <si>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</si>
  <si>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</si>
  <si>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</si>
  <si>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</si>
  <si>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</si>
  <si>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</si>
  <si>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</si>
  <si>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</si>
  <si>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</si>
  <si>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</si>
  <si>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</si>
  <si>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</si>
  <si>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</si>
  <si>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</si>
  <si>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</si>
  <si>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</si>
  <si>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</si>
  <si>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</si>
  <si>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</si>
  <si>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</si>
  <si>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</si>
  <si>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</si>
  <si>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</si>
  <si>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</si>
  <si>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</si>
  <si>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</si>
  <si>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</si>
  <si>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</si>
  <si>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</si>
  <si>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</si>
  <si>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</si>
  <si>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</si>
  <si>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</si>
  <si>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</si>
  <si>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</si>
  <si>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</si>
  <si>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</si>
  <si>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</si>
  <si>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</si>
  <si>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</si>
  <si>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</si>
  <si>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</si>
  <si>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</si>
  <si>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</si>
  <si>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</si>
  <si>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</si>
  <si>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</si>
  <si>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</si>
  <si>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</si>
  <si>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</si>
  <si>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</si>
  <si>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</si>
  <si>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</si>
  <si>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</si>
  <si>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</si>
  <si>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</si>
  <si>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</si>
  <si>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</si>
  <si>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</si>
  <si>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</si>
  <si>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</si>
  <si>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</si>
  <si>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</si>
  <si>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</si>
  <si>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</si>
  <si>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</si>
  <si>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</si>
  <si>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</si>
  <si>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</si>
  <si>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</si>
  <si>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</si>
  <si>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</si>
  <si>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</si>
  <si>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</si>
  <si>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</si>
  <si>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</si>
  <si>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</si>
  <si>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</si>
  <si>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</si>
  <si>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</si>
  <si>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</si>
  <si>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</si>
  <si>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</si>
  <si>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</si>
  <si>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</si>
  <si>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</si>
  <si>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</si>
  <si>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</si>
  <si>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</si>
  <si>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</si>
  <si>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</si>
  <si>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</si>
  <si>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</si>
  <si>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</si>
  <si>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</si>
  <si>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</si>
  <si>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</si>
  <si>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</si>
  <si>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</si>
  <si>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</si>
  <si>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</si>
  <si>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</si>
  <si>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</si>
  <si>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</si>
  <si>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</si>
  <si>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</si>
  <si>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</si>
  <si>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</si>
  <si>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</si>
  <si>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</si>
  <si>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</si>
  <si>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</si>
  <si>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</si>
  <si>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</si>
  <si>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</si>
  <si>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</si>
  <si>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</si>
  <si>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</si>
  <si>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</si>
  <si>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</si>
  <si>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</si>
  <si>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</si>
  <si>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</si>
  <si>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</si>
  <si>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</si>
  <si>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</si>
  <si>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</si>
  <si>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</si>
  <si>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</si>
  <si>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</si>
  <si>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</si>
  <si>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</si>
  <si>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</si>
  <si>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</si>
  <si>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</si>
  <si>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</si>
  <si>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</si>
  <si>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</si>
  <si>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</si>
  <si>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</si>
  <si>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</si>
  <si>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</si>
  <si>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</si>
  <si>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</si>
  <si>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</si>
  <si>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</si>
  <si>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</si>
  <si>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</si>
  <si>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</si>
  <si>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</si>
  <si>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</si>
  <si>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</si>
  <si>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</si>
  <si>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</si>
  <si>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</si>
  <si>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</si>
  <si>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</si>
  <si>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</si>
  <si>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</si>
  <si>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</si>
  <si>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</si>
  <si>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</si>
  <si>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</si>
  <si>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</si>
  <si>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</si>
  <si>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</si>
  <si>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</si>
  <si>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</si>
  <si>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</si>
  <si>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</si>
  <si>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</si>
  <si>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</si>
  <si>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</si>
  <si>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</si>
  <si>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</si>
  <si>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</si>
  <si>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</si>
  <si>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</si>
  <si>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</si>
  <si>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</si>
  <si>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</si>
  <si>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</si>
  <si>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</si>
  <si>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</si>
  <si>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</si>
  <si>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</si>
  <si>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</si>
  <si>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</si>
  <si>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</si>
  <si>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</si>
  <si>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</si>
  <si>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</si>
  <si>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</si>
  <si>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</si>
  <si>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</si>
  <si>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</si>
  <si>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</si>
  <si>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</si>
  <si>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</si>
  <si>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</si>
  <si>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</si>
  <si>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</si>
  <si>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</si>
  <si>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</si>
  <si>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</si>
  <si>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</si>
  <si>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</si>
  <si>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</si>
  <si>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</si>
  <si>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</si>
  <si>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</si>
  <si>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</si>
  <si>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</si>
  <si>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</si>
  <si>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</si>
  <si>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</si>
  <si>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</si>
  <si>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</si>
  <si>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</si>
  <si>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</si>
  <si>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</si>
  <si>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</si>
  <si>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</si>
  <si>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</si>
  <si>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</si>
  <si>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</si>
  <si>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</si>
  <si>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</si>
  <si>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</si>
  <si>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</si>
  <si>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</si>
  <si>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</si>
  <si>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</si>
  <si>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</si>
  <si>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</si>
  <si>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</si>
  <si>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</si>
  <si>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</si>
  <si>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</si>
  <si>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</si>
  <si>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</si>
  <si>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</si>
  <si>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</si>
  <si>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</si>
  <si>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</si>
  <si>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</si>
  <si>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</si>
  <si>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</si>
  <si>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</si>
  <si>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</si>
  <si>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</si>
  <si>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</si>
  <si>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</si>
  <si>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</si>
  <si>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</si>
  <si>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</si>
  <si>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</si>
  <si>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</si>
  <si>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</si>
  <si>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</si>
  <si>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</si>
  <si>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</si>
  <si>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</si>
  <si>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</si>
  <si>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</si>
  <si>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</si>
  <si>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</si>
  <si>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</si>
  <si>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</si>
  <si>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</si>
  <si>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</si>
  <si>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</si>
  <si>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</si>
  <si>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</si>
  <si>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</si>
  <si>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</si>
  <si>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</si>
  <si>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</si>
  <si>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</si>
  <si>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</si>
  <si>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</si>
  <si>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</si>
  <si>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</si>
  <si>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</si>
  <si>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</si>
  <si>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</si>
  <si>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</si>
  <si>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</si>
  <si>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</si>
  <si>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</si>
  <si>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</si>
  <si>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</si>
  <si>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</si>
  <si>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</si>
  <si>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</si>
  <si>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</si>
  <si>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</si>
  <si>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</si>
  <si>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</si>
  <si>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</si>
  <si>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</si>
  <si>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</si>
  <si>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</si>
  <si>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</si>
  <si>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</si>
  <si>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</si>
  <si>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</si>
  <si>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</si>
  <si>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</si>
  <si>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</si>
  <si>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</si>
  <si>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</si>
  <si>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</si>
  <si>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</si>
  <si>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</si>
  <si>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</si>
  <si>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</si>
  <si>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</si>
  <si>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</si>
  <si>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</si>
  <si>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</si>
  <si>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</si>
  <si>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</si>
  <si>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</si>
  <si>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</si>
  <si>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</si>
  <si>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</si>
  <si>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</si>
  <si>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</si>
  <si>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</si>
  <si>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</si>
  <si>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</si>
  <si>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</si>
  <si>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</si>
  <si>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</si>
  <si>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</si>
  <si>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</si>
  <si>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</si>
  <si>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</si>
  <si>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</si>
  <si>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</si>
  <si>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</si>
  <si>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</si>
  <si>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</si>
  <si>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</si>
  <si>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</si>
  <si>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</si>
  <si>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</si>
  <si>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</si>
  <si>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</si>
  <si>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</si>
  <si>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</si>
  <si>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</si>
  <si>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</si>
  <si>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</si>
  <si>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</si>
  <si>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</si>
  <si>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</si>
  <si>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</si>
  <si>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</si>
  <si>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</si>
  <si>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</si>
  <si>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</si>
  <si>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</si>
  <si>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</si>
  <si>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</si>
  <si>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</si>
  <si>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</si>
  <si>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</si>
  <si>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</si>
  <si>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</si>
  <si>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</si>
  <si>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</si>
  <si>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</si>
  <si>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</si>
  <si>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</si>
  <si>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</si>
  <si>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</si>
  <si>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</si>
  <si>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</si>
  <si>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</si>
  <si>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</si>
  <si>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</si>
  <si>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</si>
  <si>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</si>
  <si>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</si>
  <si>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</si>
  <si>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</si>
  <si>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</si>
  <si>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</si>
  <si>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</si>
  <si>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</si>
  <si>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</si>
  <si>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</si>
  <si>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</si>
  <si>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</si>
  <si>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</si>
  <si>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</si>
  <si>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</si>
  <si>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</si>
  <si>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</si>
  <si>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</si>
  <si>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</si>
  <si>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</si>
  <si>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</si>
  <si>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</si>
  <si>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</si>
  <si>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</si>
  <si>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</si>
  <si>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</si>
  <si>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</si>
  <si>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</si>
  <si>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</si>
  <si>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</si>
  <si>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</si>
  <si>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</si>
  <si>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</si>
  <si>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</si>
  <si>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</si>
  <si>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</si>
  <si>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</si>
  <si>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</si>
  <si>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</si>
  <si>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</si>
  <si>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</si>
  <si>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</si>
  <si>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</si>
  <si>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</si>
  <si>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</si>
  <si>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</si>
  <si>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</si>
  <si>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</si>
  <si>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</si>
  <si>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</si>
  <si>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</si>
  <si>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</si>
  <si>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</si>
  <si>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</si>
  <si>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</si>
  <si>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</si>
  <si>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</si>
  <si>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</si>
  <si>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</si>
  <si>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</si>
  <si>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</si>
  <si>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</si>
  <si>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</si>
  <si>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</si>
  <si>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</si>
  <si>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</si>
  <si>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</si>
  <si>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</si>
  <si>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</si>
  <si>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</si>
  <si>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</si>
  <si>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</si>
  <si>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</si>
  <si>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</si>
  <si>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</si>
  <si>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</si>
  <si>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</si>
  <si>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</si>
  <si>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</si>
  <si>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</si>
  <si>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</si>
  <si>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</si>
  <si>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</si>
  <si>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</si>
  <si>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</si>
  <si>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</si>
  <si>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</si>
  <si>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</si>
  <si>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</si>
  <si>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</si>
  <si>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</si>
  <si>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</si>
  <si>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</si>
  <si>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</si>
  <si>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</si>
  <si>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</si>
  <si>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</si>
  <si>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</si>
  <si>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</si>
  <si>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</si>
  <si>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</si>
  <si>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</si>
  <si>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</si>
  <si>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</si>
  <si>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</si>
  <si>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</si>
  <si>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</si>
  <si>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</si>
  <si>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</si>
  <si>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</si>
  <si>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</si>
  <si>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</si>
  <si>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</si>
  <si>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</si>
  <si>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</si>
  <si>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</si>
  <si>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</si>
  <si>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</si>
  <si>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</si>
  <si>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</si>
  <si>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</si>
  <si>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</si>
  <si>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</si>
  <si>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</si>
  <si>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</si>
  <si>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</si>
  <si>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</si>
  <si>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</si>
  <si>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</si>
  <si>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</si>
  <si>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</si>
  <si>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</si>
  <si>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</si>
  <si>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</si>
  <si>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</si>
  <si>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</si>
  <si>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</si>
  <si>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</si>
  <si>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</si>
  <si>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</si>
  <si>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</si>
  <si>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</si>
  <si>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</si>
  <si>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</si>
  <si>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</si>
  <si>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</si>
  <si>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</si>
  <si>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</si>
  <si>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</si>
  <si>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</si>
  <si>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</si>
  <si>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</si>
  <si>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</si>
  <si>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</si>
  <si>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</si>
  <si>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</si>
  <si>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</si>
  <si>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</si>
  <si>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</si>
  <si>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</si>
  <si>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</si>
  <si>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</si>
  <si>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</si>
  <si>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</si>
  <si>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</si>
  <si>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</si>
  <si>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</si>
  <si>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</si>
  <si>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</si>
  <si>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</si>
  <si>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</si>
  <si>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</si>
  <si>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</si>
  <si>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</si>
  <si>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</si>
  <si>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</si>
  <si>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</si>
  <si>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</si>
  <si>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</si>
  <si>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</si>
  <si>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</si>
  <si>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</si>
  <si>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</si>
  <si>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</si>
  <si>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</si>
  <si>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</si>
  <si>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</si>
  <si>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</si>
  <si>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</si>
  <si>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</si>
  <si>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</si>
  <si>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</si>
  <si>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</si>
  <si>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</si>
  <si>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</si>
  <si>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</si>
  <si>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</si>
  <si>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</si>
  <si>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</si>
  <si>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</si>
  <si>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</si>
  <si>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</si>
  <si>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</si>
  <si>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</si>
  <si>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</si>
  <si>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</si>
  <si>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</si>
  <si>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</si>
  <si>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</si>
  <si>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</si>
  <si>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</si>
  <si>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</si>
  <si>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</si>
  <si>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</si>
  <si>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</si>
  <si>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</si>
  <si>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</si>
  <si>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</si>
  <si>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</si>
  <si>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</si>
  <si>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</si>
  <si>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</si>
  <si>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</si>
  <si>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</si>
  <si>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</si>
  <si>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</si>
  <si>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</si>
  <si>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</si>
  <si>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</si>
  <si>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</si>
  <si>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</si>
  <si>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</si>
  <si>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</si>
  <si>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</si>
  <si>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</si>
  <si>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</si>
  <si>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</si>
  <si>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</si>
  <si>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</si>
  <si>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</si>
  <si>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</si>
  <si>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</si>
  <si>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</si>
  <si>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</si>
  <si>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</si>
  <si>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</si>
  <si>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</si>
  <si>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</si>
  <si>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</si>
  <si>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</si>
  <si>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</si>
  <si>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</si>
  <si>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</si>
  <si>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</si>
  <si>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</si>
  <si>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</si>
  <si>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</si>
  <si>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</si>
  <si>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</si>
  <si>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</si>
  <si>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</si>
  <si>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</si>
  <si>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</si>
  <si>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</si>
  <si>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</si>
  <si>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</si>
  <si>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</si>
  <si>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</si>
  <si>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</si>
  <si>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</si>
  <si>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</si>
  <si>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</si>
  <si>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</si>
  <si>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</si>
  <si>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</si>
  <si>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</si>
  <si>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</si>
  <si>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</si>
  <si>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</si>
  <si>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</si>
  <si>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</si>
  <si>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</si>
  <si>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</si>
  <si>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</si>
  <si>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</si>
  <si>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</si>
  <si>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</si>
  <si>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</si>
  <si>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</si>
  <si>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</si>
  <si>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</si>
  <si>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</si>
  <si>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</si>
  <si>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</si>
  <si>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</si>
  <si>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</si>
  <si>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</si>
  <si>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</si>
  <si>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</si>
  <si>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</si>
  <si>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</si>
  <si>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</si>
  <si>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</si>
  <si>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</si>
  <si>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</si>
  <si>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</si>
  <si>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</si>
  <si>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</si>
  <si>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</si>
  <si>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</si>
  <si>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</si>
  <si>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</si>
  <si>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</si>
  <si>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</si>
  <si>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</si>
  <si>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</si>
  <si>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</si>
  <si>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</si>
  <si>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</si>
  <si>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</si>
  <si>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</si>
  <si>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</si>
  <si>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</si>
  <si>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</si>
  <si>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</si>
  <si>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</si>
  <si>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</si>
  <si>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</si>
  <si>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</si>
  <si>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</si>
  <si>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</si>
  <si>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</si>
  <si>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</si>
  <si>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</si>
  <si>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</si>
  <si>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</si>
  <si>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</si>
  <si>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</si>
  <si>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</si>
  <si>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</si>
  <si>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</si>
  <si>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</si>
  <si>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</si>
  <si>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</si>
  <si>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</si>
  <si>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</si>
  <si>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</si>
  <si>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</si>
  <si>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</si>
  <si>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</si>
  <si>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</si>
  <si>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</si>
  <si>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</si>
  <si>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</si>
  <si>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</si>
  <si>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</si>
  <si>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</si>
  <si>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</si>
  <si>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</si>
  <si>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</si>
  <si>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</si>
  <si>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</si>
  <si>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</si>
  <si>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</si>
  <si>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</si>
  <si>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</si>
  <si>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</si>
  <si>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</si>
  <si>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</si>
  <si>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</si>
  <si>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</si>
  <si>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</si>
  <si>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</si>
  <si>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</si>
  <si>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</si>
  <si>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</si>
  <si>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</si>
  <si>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</si>
  <si>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</si>
  <si>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</si>
  <si>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</si>
  <si>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</si>
  <si>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</si>
  <si>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</si>
  <si>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</si>
  <si>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</si>
  <si>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</si>
  <si>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</si>
  <si>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</si>
  <si>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</si>
  <si>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</si>
  <si>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</si>
  <si>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</si>
  <si>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</si>
  <si>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</si>
  <si>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</si>
  <si>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</si>
  <si>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</si>
  <si>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</si>
  <si>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</si>
  <si>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</si>
  <si>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</si>
  <si>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</si>
  <si>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</si>
  <si>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</si>
  <si>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</si>
  <si>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</si>
  <si>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</si>
  <si>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</si>
  <si>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</si>
  <si>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</si>
  <si>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</si>
  <si>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</si>
  <si>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</si>
  <si>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</si>
  <si>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</si>
  <si>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</si>
  <si>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</si>
  <si>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</si>
  <si>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</si>
  <si>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</si>
  <si>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</si>
  <si>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</si>
  <si>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</si>
  <si>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</si>
  <si>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</si>
  <si>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</si>
  <si>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</si>
  <si>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</si>
  <si>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</si>
  <si>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</si>
  <si>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</si>
  <si>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</si>
  <si>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</si>
  <si>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</si>
  <si>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</si>
  <si>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</si>
  <si>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</si>
  <si>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</si>
  <si>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</si>
  <si>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</si>
  <si>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</si>
  <si>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</si>
  <si>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</si>
  <si>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</si>
  <si>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</si>
  <si>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</si>
  <si>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</si>
  <si>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</si>
  <si>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</si>
  <si>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</si>
  <si>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</si>
  <si>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</si>
  <si>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</si>
  <si>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</si>
  <si>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</si>
  <si>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</si>
  <si>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</si>
  <si>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</si>
  <si>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</si>
  <si>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</si>
  <si>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</si>
  <si>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</si>
  <si>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</si>
  <si>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</si>
  <si>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</si>
  <si>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</si>
  <si>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</si>
  <si>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</si>
  <si>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</si>
  <si>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</si>
  <si>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</si>
  <si>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</si>
  <si>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</si>
  <si>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</si>
  <si>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</si>
  <si>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</si>
  <si>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</si>
  <si>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</si>
  <si>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</si>
  <si>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</si>
  <si>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</si>
  <si>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</si>
  <si>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</si>
  <si>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</si>
  <si>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</si>
  <si>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</si>
  <si>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</si>
  <si>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</si>
  <si>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</si>
  <si>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</si>
  <si>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</si>
  <si>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</si>
  <si>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</si>
  <si>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</si>
  <si>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</si>
  <si>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</si>
  <si>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</si>
  <si>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</si>
  <si>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</si>
  <si>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</si>
  <si>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</si>
  <si>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</si>
  <si>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</si>
  <si>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</si>
  <si>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</si>
  <si>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</si>
  <si>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</si>
  <si>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</si>
  <si>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</si>
  <si>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</si>
  <si>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</si>
  <si>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</si>
  <si>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</si>
  <si>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</si>
  <si>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</si>
  <si>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</si>
  <si>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</si>
  <si>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</si>
  <si>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</si>
  <si>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</si>
  <si>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</si>
  <si>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</si>
  <si>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</si>
  <si>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</si>
  <si>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</si>
  <si>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</si>
  <si>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</si>
  <si>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</si>
  <si>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</si>
  <si>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</si>
  <si>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</si>
  <si>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</si>
  <si>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</si>
  <si>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</si>
  <si>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</si>
  <si>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</si>
  <si>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</si>
  <si>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</si>
  <si>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</si>
  <si>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</si>
  <si>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</si>
  <si>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</si>
  <si>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</si>
  <si>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</si>
  <si>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</si>
  <si>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</si>
  <si>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</si>
  <si>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</si>
  <si>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</si>
  <si>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</si>
  <si>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</si>
  <si>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</si>
  <si>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</si>
  <si>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</si>
  <si>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</si>
  <si>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</si>
  <si>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</si>
  <si>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</si>
  <si>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</si>
  <si>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</si>
  <si>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</si>
  <si>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</si>
  <si>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</si>
  <si>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</si>
  <si>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</si>
  <si>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</si>
  <si>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</si>
  <si>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</si>
  <si>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</si>
  <si>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</si>
  <si>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</si>
  <si>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</si>
  <si>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</si>
  <si>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</si>
  <si>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</si>
  <si>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</si>
  <si>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</si>
  <si>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</si>
  <si>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</si>
  <si>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</si>
  <si>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</si>
  <si>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</si>
  <si>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</si>
  <si>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</si>
  <si>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</si>
  <si>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</si>
  <si>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</si>
  <si>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</si>
  <si>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</si>
  <si>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</si>
  <si>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</si>
  <si>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</si>
  <si>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</si>
  <si>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</si>
  <si>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</si>
  <si>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</si>
  <si>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</si>
  <si>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</si>
  <si>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</si>
  <si>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</si>
  <si>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</si>
  <si>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</si>
  <si>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</si>
  <si>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</si>
  <si>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</si>
  <si>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</si>
  <si>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</si>
  <si>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</si>
  <si>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</si>
  <si>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</si>
  <si>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</si>
  <si>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</si>
  <si>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</si>
  <si>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</si>
  <si>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</si>
  <si>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</si>
  <si>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</si>
  <si>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</si>
  <si>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</si>
  <si>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</si>
  <si>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</si>
  <si>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</si>
  <si>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</si>
  <si>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</si>
  <si>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</si>
  <si>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</si>
  <si>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</si>
  <si>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</si>
  <si>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</si>
  <si>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</si>
  <si>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</si>
  <si>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</si>
  <si>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</si>
  <si>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</si>
  <si>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</si>
  <si>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</si>
  <si>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</si>
  <si>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</si>
  <si>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</si>
  <si>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</si>
  <si>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</si>
  <si>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</si>
  <si>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</si>
  <si>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</si>
  <si>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</si>
  <si>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</si>
  <si>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</si>
  <si>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</si>
  <si>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</si>
  <si>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</si>
  <si>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</si>
  <si>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</si>
  <si>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</si>
  <si>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</si>
  <si>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</si>
  <si>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</si>
  <si>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</si>
  <si>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</si>
  <si>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</si>
  <si>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</si>
  <si>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</si>
  <si>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</si>
  <si>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</si>
  <si>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</si>
  <si>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</si>
  <si>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</si>
  <si>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</si>
  <si>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</si>
  <si>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</si>
  <si>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</si>
  <si>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</si>
  <si>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</si>
  <si>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</si>
  <si>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</si>
  <si>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</si>
  <si>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</si>
  <si>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</si>
  <si>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</si>
  <si>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</si>
  <si>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</si>
  <si>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</si>
  <si>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</si>
  <si>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</si>
  <si>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</si>
  <si>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</si>
  <si>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</si>
  <si>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</si>
  <si>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</si>
  <si>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</si>
  <si>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</si>
  <si>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</si>
  <si>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</si>
  <si>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</si>
  <si>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</si>
  <si>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</si>
  <si>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</si>
  <si>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</si>
  <si>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</si>
  <si>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</si>
  <si>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</si>
  <si>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</si>
  <si>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</si>
  <si>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</si>
  <si>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</si>
  <si>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</si>
  <si>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</si>
  <si>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</si>
  <si>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</si>
  <si>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</si>
  <si>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</si>
  <si>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</si>
  <si>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</si>
  <si>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</si>
  <si>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</si>
  <si>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</si>
  <si>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</si>
  <si>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</si>
  <si>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</si>
  <si>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</si>
  <si>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</si>
  <si>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</si>
  <si>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</si>
  <si>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</si>
  <si>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</si>
  <si>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</si>
  <si>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</si>
  <si>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</si>
  <si>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</si>
  <si>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</si>
  <si>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</si>
  <si>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</si>
  <si>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</si>
  <si>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</si>
  <si>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</si>
  <si>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</si>
  <si>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</si>
  <si>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</si>
  <si>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</si>
  <si>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</si>
  <si>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</si>
  <si>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</si>
  <si>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</si>
  <si>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</si>
  <si>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</si>
  <si>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</si>
  <si>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</si>
  <si>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</si>
  <si>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</si>
  <si>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</si>
  <si>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</si>
  <si>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</si>
  <si>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</si>
  <si>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</si>
  <si>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</si>
  <si>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</si>
  <si>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</si>
  <si>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</si>
  <si>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</si>
  <si>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</si>
  <si>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</si>
  <si>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</si>
  <si>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</si>
  <si>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</si>
  <si>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</si>
  <si>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</si>
  <si>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</si>
  <si>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</si>
  <si>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</si>
  <si>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</si>
  <si>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</si>
  <si>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</si>
  <si>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</si>
  <si>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</si>
  <si>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</si>
  <si>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</si>
  <si>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</si>
  <si>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</si>
  <si>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</si>
  <si>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</si>
  <si>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</si>
  <si>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</si>
  <si>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</si>
  <si>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</si>
  <si>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</si>
  <si>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</si>
  <si>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</si>
  <si>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</si>
  <si>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</si>
  <si>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</si>
  <si>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</si>
  <si>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</si>
  <si>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</si>
  <si>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</si>
  <si>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</si>
  <si>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</si>
  <si>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</si>
  <si>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</si>
  <si>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</si>
  <si>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</si>
  <si>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</si>
  <si>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</si>
  <si>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</si>
  <si>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</si>
  <si>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</si>
  <si>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</si>
  <si>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</si>
  <si>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</si>
  <si>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</si>
  <si>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</si>
  <si>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</si>
  <si>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</si>
  <si>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</si>
  <si>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</si>
  <si>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</si>
  <si>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</si>
  <si>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</si>
  <si>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</si>
  <si>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</si>
  <si>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</si>
  <si>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</si>
  <si>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</si>
  <si>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</si>
  <si>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</si>
  <si>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</si>
  <si>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</si>
  <si>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</si>
  <si>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</si>
  <si>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</si>
  <si>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</si>
  <si>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</si>
  <si>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</si>
  <si>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</si>
  <si>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</si>
  <si>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</si>
  <si>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</si>
  <si>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</si>
  <si>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</si>
  <si>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</si>
  <si>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</si>
  <si>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</si>
  <si>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</si>
  <si>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</si>
  <si>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</si>
  <si>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</si>
  <si>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</si>
  <si>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</si>
  <si>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</si>
  <si>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</si>
  <si>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</si>
  <si>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</si>
  <si>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</si>
  <si>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</si>
  <si>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</si>
  <si>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</si>
  <si>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</si>
  <si>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</si>
  <si>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</si>
  <si>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</si>
  <si>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</si>
  <si>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</si>
  <si>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</si>
  <si>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</si>
  <si>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</si>
  <si>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</si>
  <si>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</si>
  <si>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</si>
  <si>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</si>
  <si>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</si>
  <si>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</si>
  <si>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</si>
  <si>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</si>
  <si>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</si>
  <si>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</si>
  <si>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</si>
  <si>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</si>
  <si>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</si>
  <si>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</si>
  <si>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</si>
  <si>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</si>
  <si>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</si>
  <si>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</si>
  <si>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</si>
  <si>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</si>
  <si>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</si>
  <si>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</si>
  <si>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</si>
  <si>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</si>
  <si>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</si>
  <si>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</si>
  <si>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</si>
  <si>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</si>
  <si>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</si>
  <si>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</si>
  <si>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</si>
  <si>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</si>
  <si>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</si>
  <si>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</si>
  <si>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</si>
  <si>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</si>
  <si>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</si>
  <si>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</si>
  <si>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</si>
  <si>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</si>
  <si>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</si>
  <si>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</si>
  <si>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</si>
  <si>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</si>
  <si>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</si>
  <si>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</si>
  <si>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</si>
  <si>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</si>
  <si>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</si>
  <si>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</si>
  <si>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</si>
  <si>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</si>
  <si>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</si>
  <si>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</si>
  <si>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</si>
  <si>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</si>
  <si>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</si>
  <si>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</si>
  <si>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</si>
  <si>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</si>
  <si>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</si>
  <si>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</si>
  <si>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</si>
  <si>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</si>
  <si>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</si>
  <si>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</si>
  <si>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</si>
  <si>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</si>
  <si>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</si>
  <si>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</si>
  <si>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</si>
  <si>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</si>
  <si>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</si>
  <si>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</si>
  <si>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</si>
  <si>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</si>
  <si>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</si>
  <si>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</si>
  <si>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</si>
  <si>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</si>
  <si>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</si>
  <si>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</si>
  <si>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</si>
  <si>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</si>
  <si>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</si>
  <si>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</si>
  <si>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</si>
  <si>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</si>
  <si>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</si>
  <si>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</si>
  <si>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</si>
  <si>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</si>
  <si>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</si>
  <si>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</si>
  <si>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</si>
  <si>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</si>
  <si>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</si>
  <si>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</si>
  <si>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</si>
  <si>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</si>
  <si>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</si>
  <si>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</si>
  <si>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</si>
  <si>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</si>
  <si>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</si>
  <si>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</si>
  <si>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</si>
  <si>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</si>
  <si>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</si>
  <si>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</si>
  <si>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</si>
  <si>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</si>
  <si>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</si>
  <si>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</si>
  <si>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</si>
  <si>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</si>
  <si>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</si>
  <si>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</si>
  <si>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</si>
  <si>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</si>
  <si>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</si>
  <si>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</si>
  <si>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</si>
  <si>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</si>
  <si>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</si>
  <si>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</si>
  <si>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</si>
  <si>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</si>
  <si>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</si>
  <si>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</si>
  <si>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</si>
  <si>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</si>
  <si>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</si>
  <si>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</si>
  <si>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</si>
  <si>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</si>
  <si>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</si>
  <si>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</si>
  <si>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</si>
  <si>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</si>
  <si>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</si>
  <si>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</si>
  <si>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</si>
  <si>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</si>
  <si>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</si>
  <si>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</si>
  <si>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</si>
  <si>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</si>
  <si>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</si>
  <si>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</si>
  <si>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</si>
  <si>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</si>
  <si>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</si>
  <si>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</si>
  <si>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</si>
  <si>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</si>
  <si>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</si>
  <si>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</si>
  <si>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</si>
  <si>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</si>
  <si>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</si>
  <si>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</si>
  <si>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</si>
  <si>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</si>
  <si>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</si>
  <si>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</si>
  <si>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</si>
  <si>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</si>
  <si>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</si>
  <si>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</si>
  <si>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</si>
  <si>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</si>
  <si>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</si>
  <si>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</si>
  <si>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</si>
  <si>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</si>
  <si>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</si>
  <si>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</si>
  <si>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</si>
  <si>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</si>
  <si>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</si>
  <si>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</si>
  <si>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</si>
  <si>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</si>
  <si>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</si>
  <si>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</si>
  <si>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</si>
  <si>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</si>
  <si>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</si>
  <si>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</si>
  <si>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</si>
  <si>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</si>
  <si>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</si>
  <si>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</si>
  <si>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</si>
  <si>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</si>
  <si>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</si>
  <si>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</si>
  <si>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</si>
  <si>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</si>
  <si>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</si>
  <si>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</si>
  <si>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</si>
  <si>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</si>
  <si>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</si>
  <si>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</si>
  <si>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</si>
  <si>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</si>
  <si>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</si>
  <si>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</si>
  <si>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</si>
  <si>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</si>
  <si>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</si>
  <si>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</si>
  <si>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</si>
  <si>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</si>
  <si>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</si>
  <si>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</si>
  <si>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</si>
  <si>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</si>
  <si>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</si>
  <si>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</si>
  <si>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</si>
  <si>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</si>
  <si>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</si>
  <si>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</si>
  <si>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</si>
  <si>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</si>
  <si>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</si>
  <si>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</si>
  <si>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</si>
  <si>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</si>
  <si>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</si>
  <si>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</si>
  <si>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</si>
  <si>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</si>
  <si>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</si>
  <si>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</si>
  <si>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</si>
  <si>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</si>
  <si>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</si>
  <si>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</si>
  <si>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</si>
  <si>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</si>
  <si>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</si>
  <si>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</si>
  <si>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</si>
  <si>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</si>
  <si>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</si>
  <si>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</si>
  <si>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</si>
  <si>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</si>
  <si>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</si>
  <si>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</si>
  <si>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</si>
  <si>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</si>
  <si>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</si>
  <si>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</si>
  <si>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</si>
  <si>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</si>
  <si>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</si>
  <si>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</si>
  <si>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</si>
  <si>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</si>
  <si>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</si>
  <si>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</si>
  <si>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</si>
  <si>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</si>
  <si>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</si>
  <si>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</si>
  <si>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</si>
  <si>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</si>
  <si>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</si>
  <si>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</si>
  <si>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</si>
  <si>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</si>
  <si>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</si>
  <si>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</si>
  <si>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</si>
  <si>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</si>
  <si>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</si>
  <si>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</si>
  <si>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</si>
  <si>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</si>
  <si>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</si>
  <si>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</si>
  <si>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</si>
  <si>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</si>
  <si>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</si>
  <si>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</si>
  <si>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</si>
  <si>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</si>
  <si>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</si>
  <si>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</si>
  <si>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</si>
  <si>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</si>
  <si>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</si>
  <si>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</si>
  <si>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</si>
  <si>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</si>
  <si>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</si>
  <si>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</si>
  <si>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</si>
  <si>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</si>
  <si>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</si>
  <si>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</si>
  <si>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</si>
  <si>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</si>
  <si>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</si>
  <si>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</si>
  <si>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</si>
  <si>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</si>
  <si>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</si>
  <si>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</si>
  <si>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</si>
  <si>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</si>
  <si>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</si>
  <si>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</si>
  <si>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</si>
  <si>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</si>
  <si>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</si>
  <si>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</si>
  <si>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</si>
  <si>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</si>
  <si>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</si>
  <si>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</si>
  <si>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</si>
  <si>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</si>
  <si>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</si>
  <si>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</si>
  <si>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</si>
  <si>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</si>
  <si>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</si>
  <si>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</si>
  <si>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</si>
  <si>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</si>
  <si>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</si>
  <si>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</si>
  <si>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</si>
  <si>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</si>
  <si>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</si>
  <si>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</si>
  <si>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</si>
  <si>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</si>
  <si>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</si>
  <si>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</si>
  <si>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</si>
  <si>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</si>
  <si>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</si>
  <si>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</si>
  <si>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</si>
  <si>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</si>
  <si>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</si>
  <si>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</si>
  <si>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</si>
  <si>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</si>
  <si>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</si>
  <si>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</si>
  <si>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</si>
  <si>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</si>
  <si>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</si>
  <si>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</si>
  <si>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</si>
  <si>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</si>
  <si>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</si>
  <si>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</si>
  <si>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</si>
  <si>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</si>
  <si>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</si>
  <si>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</si>
  <si>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</si>
  <si>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</si>
  <si>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</si>
  <si>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</si>
  <si>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</si>
  <si>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</si>
  <si>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</si>
  <si>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</si>
  <si>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</si>
  <si>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</si>
  <si>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</si>
  <si>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</si>
  <si>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</si>
  <si>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</si>
  <si>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</si>
  <si>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</si>
  <si>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</si>
  <si>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</si>
  <si>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</si>
  <si>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</si>
  <si>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</si>
  <si>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</si>
  <si>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</si>
  <si>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</si>
  <si>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</si>
  <si>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</si>
  <si>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</si>
  <si>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</si>
  <si>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</si>
  <si>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</si>
  <si>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</si>
  <si>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</si>
  <si>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</si>
  <si>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</si>
  <si>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</si>
  <si>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</si>
  <si>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</si>
  <si>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</si>
  <si>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</si>
  <si>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</si>
  <si>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</si>
  <si>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</si>
  <si>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</si>
  <si>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</si>
  <si>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</si>
  <si>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</si>
  <si>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</si>
  <si>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</si>
  <si>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</si>
  <si>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</si>
  <si>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</si>
  <si>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</si>
  <si>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</si>
  <si>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</si>
  <si>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</si>
  <si>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</si>
  <si>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</si>
  <si>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</si>
  <si>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</si>
  <si>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</si>
  <si>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</si>
  <si>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</si>
  <si>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</si>
  <si>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</si>
  <si>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</si>
  <si>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</si>
  <si>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</si>
  <si>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</si>
  <si>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</si>
  <si>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</si>
  <si>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</si>
  <si>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</si>
  <si>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</si>
  <si>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</si>
  <si>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</si>
  <si>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</si>
  <si>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</si>
  <si>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</si>
  <si>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</si>
  <si>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</si>
  <si>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</si>
  <si>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</si>
  <si>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</si>
  <si>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</si>
  <si>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</si>
  <si>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</si>
  <si>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</si>
  <si>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</si>
  <si>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</si>
  <si>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</si>
  <si>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</si>
  <si>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</si>
  <si>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</si>
  <si>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</si>
  <si>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</si>
  <si>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</si>
  <si>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</si>
  <si>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</si>
  <si>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</si>
  <si>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</si>
  <si>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</si>
  <si>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</si>
  <si>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</si>
  <si>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</si>
  <si>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</si>
  <si>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</si>
  <si>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</si>
  <si>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</si>
  <si>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</si>
  <si>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</si>
  <si>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</si>
  <si>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</si>
  <si>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</si>
  <si>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</si>
  <si>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</si>
  <si>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</si>
  <si>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</si>
  <si>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</si>
  <si>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</si>
  <si>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</si>
  <si>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</si>
  <si>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</si>
  <si>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</si>
  <si>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</si>
  <si>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</si>
  <si>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</si>
  <si>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</si>
  <si>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</si>
  <si>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</si>
  <si>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</si>
  <si>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</si>
  <si>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</si>
  <si>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</si>
  <si>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</si>
  <si>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</si>
  <si>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</si>
  <si>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</si>
  <si>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</si>
  <si>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</si>
  <si>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</si>
  <si>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</si>
  <si>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</si>
  <si>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</si>
  <si>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</si>
  <si>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</si>
  <si>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</si>
  <si>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</si>
  <si>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</si>
  <si>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</si>
  <si>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</si>
  <si>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</si>
  <si>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</si>
  <si>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</si>
  <si>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</si>
  <si>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</si>
  <si>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</si>
  <si>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</si>
  <si>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</si>
  <si>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</si>
  <si>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</si>
  <si>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</si>
  <si>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</si>
  <si>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</si>
  <si>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</si>
  <si>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</si>
  <si>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</si>
  <si>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</si>
  <si>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</si>
  <si>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</si>
  <si>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</si>
  <si>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</si>
  <si>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</si>
  <si>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</si>
  <si>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</si>
  <si>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</si>
  <si>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</si>
  <si>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</si>
  <si>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</si>
  <si>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</si>
  <si>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</si>
  <si>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</si>
  <si>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</si>
  <si>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</si>
  <si>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</si>
  <si>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</si>
  <si>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</si>
  <si>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</si>
  <si>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</si>
  <si>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</si>
  <si>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</si>
  <si>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</si>
  <si>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</si>
  <si>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</si>
  <si>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</si>
  <si>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</si>
  <si>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</si>
  <si>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</si>
  <si>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</si>
  <si>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</si>
  <si>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</si>
  <si>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</si>
  <si>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</si>
  <si>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</si>
  <si>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</si>
  <si>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</si>
  <si>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</si>
  <si>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</si>
  <si>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</si>
  <si>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</si>
  <si>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</si>
  <si>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</si>
  <si>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</si>
  <si>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</si>
  <si>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</si>
  <si>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</si>
  <si>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</si>
  <si>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</si>
  <si>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</si>
  <si>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</si>
  <si>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</si>
  <si>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</si>
  <si>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</si>
  <si>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</si>
  <si>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</si>
  <si>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</si>
  <si>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</si>
  <si>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</si>
  <si>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</si>
  <si>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</si>
  <si>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</si>
  <si>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</si>
  <si>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</si>
  <si>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</si>
  <si>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</si>
  <si>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</si>
  <si>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</si>
  <si>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</si>
  <si>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</si>
  <si>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</si>
  <si>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</si>
  <si>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</si>
  <si>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</si>
  <si>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</si>
  <si>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</si>
  <si>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</si>
  <si>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</si>
  <si>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</si>
  <si>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</si>
  <si>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</si>
  <si>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</si>
  <si>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</si>
  <si>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</si>
  <si>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</si>
  <si>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</si>
  <si>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</si>
  <si>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</si>
  <si>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</si>
  <si>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</si>
  <si>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</si>
  <si>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</si>
  <si>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</si>
  <si>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</si>
  <si>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</si>
  <si>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</si>
  <si>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</si>
  <si>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</si>
  <si>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</si>
  <si>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</si>
  <si>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</si>
  <si>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</si>
  <si>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</si>
  <si>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</si>
  <si>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</si>
  <si>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</si>
  <si>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</si>
  <si>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</si>
  <si>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</si>
  <si>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</si>
  <si>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</si>
  <si>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</si>
  <si>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</si>
  <si>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</si>
  <si>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</si>
  <si>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</si>
  <si>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</si>
  <si>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</si>
  <si>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</si>
  <si>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</si>
  <si>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</si>
  <si>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</si>
  <si>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</si>
  <si>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</si>
  <si>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</si>
  <si>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</si>
  <si>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</si>
  <si>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</si>
  <si>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</si>
  <si>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</si>
  <si>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</si>
  <si>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</si>
  <si>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</si>
  <si>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</si>
  <si>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</si>
  <si>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</si>
  <si>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</si>
  <si>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</si>
  <si>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</si>
  <si>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</si>
  <si>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</si>
  <si>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</si>
  <si>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</si>
  <si>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</si>
  <si>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</si>
  <si>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</si>
  <si>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</si>
  <si>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</si>
  <si>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</si>
  <si>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</si>
  <si>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</si>
  <si>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</si>
  <si>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</si>
  <si>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</si>
  <si>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</si>
  <si>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</si>
  <si>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</si>
  <si>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</si>
  <si>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</si>
  <si>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</si>
  <si>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</si>
  <si>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</si>
  <si>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</si>
  <si>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</si>
  <si>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</si>
  <si>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</si>
  <si>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</si>
  <si>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</si>
  <si>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</si>
  <si>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</si>
  <si>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</si>
  <si>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</si>
  <si>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</si>
  <si>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</si>
  <si>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</si>
  <si>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</si>
  <si>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</si>
  <si>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</si>
  <si>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</si>
  <si>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</si>
  <si>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</si>
  <si>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</si>
  <si>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</si>
  <si>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</si>
  <si>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</si>
  <si>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</si>
  <si>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</si>
  <si>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</si>
  <si>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</si>
  <si>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</si>
  <si>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</si>
  <si>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</si>
  <si>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</si>
  <si>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</si>
  <si>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</si>
  <si>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</si>
  <si>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</si>
  <si>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</si>
  <si>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</si>
  <si>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</si>
  <si>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</si>
  <si>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</si>
  <si>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</si>
  <si>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</si>
  <si>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</si>
  <si>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</si>
  <si>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</si>
  <si>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</si>
  <si>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</si>
  <si>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</si>
  <si>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</si>
  <si>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</si>
  <si>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</si>
  <si>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</si>
  <si>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</si>
  <si>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</si>
  <si>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</si>
  <si>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</si>
  <si>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</si>
  <si>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</si>
  <si>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</si>
  <si>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</si>
  <si>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</si>
  <si>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</si>
  <si>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</si>
  <si>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</si>
  <si>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</si>
  <si>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</si>
  <si>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</si>
  <si>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</si>
  <si>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</si>
  <si>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</si>
  <si>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</si>
  <si>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</si>
  <si>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</si>
  <si>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</si>
  <si>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</si>
  <si>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</si>
  <si>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</si>
  <si>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</si>
  <si>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</si>
  <si>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</si>
  <si>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</si>
  <si>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</si>
  <si>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</si>
  <si>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</si>
  <si>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</si>
  <si>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</si>
  <si>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</si>
  <si>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</si>
  <si>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</si>
  <si>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</si>
  <si>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</si>
  <si>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</si>
  <si>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</si>
  <si>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</si>
  <si>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</si>
  <si>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</si>
  <si>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</si>
  <si>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</si>
  <si>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</si>
  <si>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</si>
  <si>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</si>
  <si>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</si>
  <si>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</si>
  <si>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</si>
  <si>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</si>
  <si>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</si>
  <si>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</si>
  <si>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</si>
  <si>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</si>
  <si>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</si>
  <si>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</si>
  <si>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</si>
  <si>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</si>
  <si>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</si>
  <si>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</si>
  <si>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</si>
  <si>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</si>
  <si>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</si>
  <si>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</si>
  <si>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</si>
  <si>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</si>
  <si>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</si>
  <si>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</si>
  <si>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</si>
  <si>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</si>
  <si>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</si>
  <si>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</si>
  <si>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</si>
  <si>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</si>
  <si>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</si>
  <si>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</si>
  <si>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</si>
  <si>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</si>
  <si>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</si>
  <si>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</si>
  <si>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</si>
  <si>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</si>
  <si>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</si>
  <si>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</si>
  <si>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</si>
  <si>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</si>
  <si>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</si>
  <si>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</si>
  <si>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</si>
  <si>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</si>
  <si>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</si>
  <si>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</si>
  <si>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</si>
  <si>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</si>
  <si>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</si>
  <si>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</si>
  <si>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</si>
  <si>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</si>
  <si>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</si>
  <si>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</si>
  <si>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</si>
  <si>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</si>
  <si>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</si>
  <si>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</si>
  <si>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</si>
  <si>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</si>
  <si>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</si>
  <si>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</si>
  <si>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</si>
  <si>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</si>
  <si>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</si>
  <si>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</si>
  <si>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</si>
  <si>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</si>
  <si>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</si>
  <si>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</si>
  <si>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</si>
  <si>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</si>
  <si>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</si>
  <si>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</si>
  <si>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</si>
  <si>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</si>
  <si>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</si>
  <si>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</si>
  <si>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</si>
  <si>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</si>
  <si>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</si>
  <si>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</si>
  <si>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</si>
  <si>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</si>
  <si>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</si>
  <si>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</si>
  <si>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</si>
  <si>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</si>
  <si>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</si>
  <si>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</si>
  <si>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</si>
  <si>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</si>
  <si>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</si>
  <si>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</si>
  <si>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</si>
  <si>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</si>
  <si>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</si>
  <si>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</si>
  <si>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</si>
  <si>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</si>
  <si>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</si>
  <si>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</si>
  <si>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</si>
  <si>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</si>
  <si>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</si>
  <si>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</si>
  <si>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</si>
  <si>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</si>
  <si>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</si>
  <si>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</si>
  <si>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</si>
  <si>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</si>
  <si>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</si>
  <si>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</si>
  <si>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</si>
  <si>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</si>
  <si>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</si>
  <si>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</si>
  <si>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</si>
  <si>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</si>
  <si>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</si>
  <si>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</si>
  <si>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</si>
  <si>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</si>
  <si>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</si>
  <si>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</si>
  <si>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</si>
  <si>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</si>
  <si>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</si>
  <si>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</si>
  <si>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</si>
  <si>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</si>
  <si>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</si>
  <si>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</si>
  <si>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</si>
  <si>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</si>
  <si>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</si>
  <si>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</si>
  <si>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</si>
  <si>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</si>
  <si>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</si>
  <si>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</si>
  <si>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</si>
  <si>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</si>
  <si>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</si>
  <si>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</si>
  <si>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</si>
  <si>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</si>
  <si>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</si>
  <si>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</si>
  <si>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</si>
  <si>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</si>
  <si>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</si>
  <si>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</si>
  <si>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</si>
  <si>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</si>
  <si>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</si>
  <si>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</si>
  <si>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</si>
  <si>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</si>
  <si>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</si>
  <si>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</si>
  <si>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</si>
  <si>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</si>
  <si>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</si>
  <si>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</si>
  <si>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</si>
  <si>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</si>
  <si>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</si>
  <si>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</si>
  <si>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</si>
  <si>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</si>
  <si>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</si>
  <si>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</si>
  <si>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</si>
  <si>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</si>
  <si>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</si>
  <si>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</si>
  <si>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</si>
  <si>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</si>
  <si>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</si>
  <si>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</si>
  <si>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</si>
  <si>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</si>
  <si>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</si>
  <si>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</si>
  <si>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</si>
  <si>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</si>
  <si>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</si>
  <si>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</si>
  <si>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</si>
  <si>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</si>
  <si>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</si>
  <si>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</si>
  <si>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</si>
  <si>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</si>
  <si>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</si>
  <si>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</si>
  <si>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</si>
  <si>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</si>
  <si>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</si>
  <si>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</si>
  <si>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</si>
  <si>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</si>
  <si>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</si>
  <si>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</si>
  <si>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</si>
  <si>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</si>
  <si>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</si>
  <si>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</si>
  <si>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</si>
  <si>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</si>
  <si>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</si>
  <si>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</si>
  <si>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</si>
  <si>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</si>
  <si>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</si>
  <si>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</si>
  <si>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</si>
  <si>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</si>
  <si>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</si>
  <si>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</si>
  <si>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</si>
  <si>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</si>
  <si>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</si>
  <si>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</si>
  <si>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</si>
  <si>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</si>
  <si>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</si>
  <si>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</si>
  <si>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</si>
  <si>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</si>
  <si>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</si>
  <si>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</si>
  <si>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</si>
  <si>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</si>
  <si>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</si>
  <si>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</si>
  <si>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</si>
  <si>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</si>
  <si>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</si>
  <si>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</si>
  <si>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</si>
  <si>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</si>
  <si>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</si>
  <si>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</si>
  <si>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</si>
  <si>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</si>
  <si>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</si>
  <si>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</si>
  <si>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</si>
  <si>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</si>
  <si>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</si>
  <si>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</si>
  <si>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</si>
  <si>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</si>
  <si>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</si>
  <si>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</si>
  <si>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</si>
  <si>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</si>
  <si>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</si>
  <si>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</si>
  <si>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</si>
  <si>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</si>
  <si>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</si>
  <si>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</si>
  <si>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</si>
  <si>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</si>
  <si>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</si>
  <si>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</si>
  <si>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</si>
  <si>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</si>
  <si>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</si>
  <si>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</si>
  <si>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</si>
  <si>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</si>
  <si>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</si>
  <si>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</si>
  <si>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</si>
  <si>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</si>
  <si>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</si>
  <si>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</si>
  <si>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</si>
  <si>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</si>
  <si>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</si>
  <si>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</si>
  <si>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</si>
  <si>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</si>
  <si>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</si>
  <si>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</si>
  <si>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</si>
  <si>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</si>
  <si>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</si>
  <si>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</si>
  <si>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</si>
  <si>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</si>
  <si>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</si>
  <si>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</si>
  <si>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</si>
  <si>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</si>
  <si>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</si>
  <si>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</si>
  <si>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</si>
  <si>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</si>
  <si>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</si>
  <si>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</si>
  <si>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</si>
  <si>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</si>
  <si>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</si>
  <si>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</si>
  <si>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</si>
  <si>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</si>
  <si>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</si>
  <si>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</si>
  <si>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</si>
  <si>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</si>
  <si>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</si>
  <si>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</si>
  <si>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</si>
  <si>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</si>
  <si>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</si>
  <si>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</si>
  <si>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</si>
  <si>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</si>
  <si>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</si>
  <si>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</si>
  <si>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</si>
  <si>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</si>
  <si>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</si>
  <si>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</si>
  <si>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</si>
  <si>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</si>
  <si>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</si>
  <si>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</si>
  <si>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</si>
  <si>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</si>
  <si>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</si>
  <si>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</si>
  <si>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</si>
  <si>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</si>
  <si>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</si>
  <si>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</si>
  <si>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</si>
  <si>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</si>
  <si>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</si>
  <si>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</si>
  <si>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</si>
  <si>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</si>
  <si>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</si>
  <si>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</si>
  <si>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</si>
  <si>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</si>
  <si>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</si>
  <si>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</si>
  <si>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</si>
  <si>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</si>
  <si>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</si>
  <si>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</si>
  <si>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</si>
  <si>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</si>
  <si>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</si>
  <si>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</si>
  <si>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</si>
  <si>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</si>
  <si>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</si>
  <si>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</si>
  <si>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</si>
  <si>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</si>
  <si>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</si>
  <si>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</si>
  <si>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</si>
  <si>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</si>
  <si>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</si>
  <si>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</si>
  <si>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</si>
  <si>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</si>
  <si>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</si>
  <si>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</si>
  <si>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</si>
  <si>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</si>
  <si>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</si>
  <si>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</si>
  <si>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</si>
  <si>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</si>
  <si>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</si>
  <si>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</si>
  <si>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</si>
  <si>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</si>
  <si>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</si>
  <si>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</si>
  <si>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</si>
  <si>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</si>
  <si>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</si>
  <si>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</si>
  <si>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</si>
  <si>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</si>
  <si>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</si>
  <si>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</si>
  <si>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</si>
  <si>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</si>
  <si>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</si>
  <si>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</si>
  <si>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</si>
  <si>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</si>
  <si>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</si>
  <si>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</si>
  <si>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</si>
  <si>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</si>
  <si>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</si>
  <si>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</si>
  <si>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</si>
  <si>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</si>
  <si>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</si>
  <si>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</si>
  <si>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</si>
  <si>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</si>
  <si>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</si>
  <si>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</si>
  <si>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</si>
  <si>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</si>
  <si>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</si>
  <si>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</si>
  <si>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</si>
  <si>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</si>
  <si>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</si>
  <si>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</si>
  <si>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</si>
  <si>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</si>
  <si>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</si>
  <si>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</si>
  <si>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</si>
  <si>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</si>
  <si>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</si>
  <si>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</si>
  <si>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</si>
  <si>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</si>
  <si>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</si>
  <si>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</si>
  <si>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</si>
  <si>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</si>
  <si>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</si>
  <si>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</si>
  <si>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</si>
  <si>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</si>
  <si>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</si>
  <si>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</si>
  <si>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</si>
  <si>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</si>
  <si>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</si>
  <si>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</si>
  <si>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</si>
  <si>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</si>
  <si>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</si>
  <si>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</si>
  <si>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</si>
  <si>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</si>
  <si>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</si>
  <si>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</si>
  <si>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</si>
  <si>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</si>
  <si>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</si>
  <si>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</si>
  <si>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</si>
  <si>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</si>
  <si>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</si>
  <si>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</si>
  <si>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</si>
  <si>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</si>
  <si>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</si>
  <si>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</si>
  <si>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</si>
  <si>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</si>
  <si>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</si>
  <si>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</si>
  <si>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</si>
  <si>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</si>
  <si>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</si>
  <si>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</si>
  <si>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</si>
  <si>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</si>
  <si>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</si>
  <si>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</si>
  <si>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</si>
  <si>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</si>
  <si>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</si>
  <si>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</si>
  <si>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</si>
  <si>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</si>
  <si>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</si>
  <si>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</si>
  <si>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</si>
  <si>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</si>
  <si>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</si>
  <si>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</si>
  <si>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</si>
  <si>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</si>
  <si>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</si>
  <si>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</si>
  <si>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</si>
  <si>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</si>
  <si>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</si>
  <si>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</si>
  <si>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</si>
  <si>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</si>
  <si>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</si>
  <si>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</si>
  <si>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</si>
  <si>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</si>
  <si>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</si>
  <si>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</si>
  <si>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</si>
  <si>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</si>
  <si>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</si>
  <si>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</si>
  <si>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</si>
  <si>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</si>
  <si>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</si>
  <si>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</si>
  <si>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</si>
  <si>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</si>
  <si>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</si>
  <si>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</si>
  <si>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</si>
  <si>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</si>
  <si>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</si>
  <si>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</si>
  <si>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</si>
  <si>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</si>
  <si>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</si>
  <si>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</si>
  <si>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</si>
  <si>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</si>
  <si>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</si>
  <si>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</si>
  <si>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</si>
  <si>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</si>
  <si>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</si>
  <si>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</si>
  <si>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</si>
  <si>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</si>
  <si>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</si>
  <si>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</si>
  <si>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</si>
  <si>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</si>
  <si>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</si>
  <si>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</si>
  <si>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</si>
  <si>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</si>
  <si>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</si>
  <si>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</si>
  <si>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</si>
  <si>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</si>
  <si>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</si>
  <si>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</si>
  <si>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</si>
  <si>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</si>
  <si>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</si>
  <si>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</si>
  <si>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</si>
  <si>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</si>
  <si>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</si>
  <si>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</si>
  <si>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</si>
  <si>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</si>
  <si>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</si>
  <si>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</si>
  <si>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</si>
  <si>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</si>
  <si>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</si>
  <si>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</si>
  <si>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</si>
  <si>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</si>
  <si>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</si>
  <si>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</si>
  <si>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</si>
  <si>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</si>
  <si>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</si>
  <si>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</si>
  <si>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</si>
  <si>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</si>
  <si>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</si>
  <si>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</si>
  <si>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</si>
  <si>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</si>
  <si>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</si>
  <si>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</si>
  <si>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</si>
  <si>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</si>
  <si>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</si>
  <si>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</si>
  <si>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</si>
  <si>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</si>
  <si>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</si>
  <si>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</si>
  <si>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</si>
  <si>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</si>
  <si>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</si>
  <si>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</si>
  <si>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</si>
  <si>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</si>
  <si>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</si>
  <si>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</si>
  <si>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</si>
  <si>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</si>
  <si>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</si>
  <si>
    <t>CID001192</t>
    <phoneticPr fontId="0"/>
  </si>
  <si>
    <t>Akoustis Technologies, Inc.</t>
  </si>
  <si>
    <t>9805-A Northcross Center Court, Huntersville, NC</t>
  </si>
  <si>
    <t>Scot Shuford</t>
  </si>
  <si>
    <t>sshuford@akoustis.com</t>
  </si>
  <si>
    <t>980-689-4970</t>
  </si>
  <si>
    <t>Direct Sourcing Manager</t>
  </si>
  <si>
    <t>https://akoustis.com/wp-content/uploads/2020/06/AKOUSTIS-TECHNOLOGIES-Conflict-Minerals-Statement.v2.pdf</t>
  </si>
  <si>
    <t>Malaysia Smelting Corporation (MSC), Thaisarco / Now listed as a conformant smelter on http://www.responsiblemineralsinitiative.org</t>
  </si>
  <si>
    <t>All Production Released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</si>
</sst>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5">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
      <left style="thin">
        <color indexed="8"/>
      </left>
      <right/>
      <top style="thin">
        <color indexed="8"/>
      </top>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88"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88" fillId="0" borderId="0"/>
    <xf numFmtId="0" fontId="88"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88"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88" fillId="0" borderId="0"/>
    <xf numFmtId="0" fontId="73" fillId="0" borderId="0"/>
    <xf numFmtId="0" fontId="55" fillId="0" borderId="0"/>
    <xf numFmtId="0" fontId="55" fillId="0" borderId="0"/>
    <xf numFmtId="0" fontId="55" fillId="0" borderId="0"/>
    <xf numFmtId="0" fontId="55" fillId="0" borderId="0"/>
    <xf numFmtId="0" fontId="55" fillId="0" borderId="0"/>
    <xf numFmtId="0" fontId="88" fillId="0" borderId="0"/>
    <xf numFmtId="0" fontId="55" fillId="0" borderId="0"/>
    <xf numFmtId="0" fontId="88"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73" fillId="0" borderId="0"/>
    <xf numFmtId="0" fontId="73" fillId="0" borderId="0"/>
    <xf numFmtId="0" fontId="55"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88" fillId="0" borderId="0"/>
    <xf numFmtId="0" fontId="55" fillId="0" borderId="0"/>
    <xf numFmtId="0" fontId="55" fillId="0" borderId="0"/>
    <xf numFmtId="164" fontId="2" fillId="0" borderId="0"/>
    <xf numFmtId="164" fontId="2" fillId="0" borderId="0"/>
    <xf numFmtId="0" fontId="74" fillId="0" borderId="0"/>
    <xf numFmtId="0" fontId="88"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88"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88" fillId="0" borderId="0"/>
    <xf numFmtId="0" fontId="88" fillId="0" borderId="0"/>
    <xf numFmtId="0" fontId="88" fillId="0" borderId="0"/>
    <xf numFmtId="164" fontId="88" fillId="0" borderId="0"/>
    <xf numFmtId="0" fontId="1" fillId="0" borderId="0"/>
  </cellStyleXfs>
  <cellXfs count="454">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88"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6"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5"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7"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89"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0"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0"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0"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1"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2" fillId="0" borderId="0" xfId="0" applyFont="1"/>
    <xf numFmtId="164" fontId="53" fillId="0" borderId="0" xfId="480" applyFont="1" applyFill="1" applyAlignment="1" applyProtection="1">
      <alignment horizontal="left" vertical="top" wrapText="1"/>
      <protection hidden="1"/>
    </xf>
    <xf numFmtId="0" fontId="93"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49" fontId="15" fillId="33" borderId="37" xfId="0" applyNumberFormat="1" applyFont="1" applyFill="1" applyBorder="1" applyAlignment="1" applyProtection="1">
      <alignment horizontal="left" vertical="center" wrapText="1"/>
      <protection locked="0"/>
    </xf>
    <xf numFmtId="0" fontId="0" fillId="0" borderId="65" xfId="0" applyBorder="1" applyAlignment="1" applyProtection="1">
      <alignment vertical="center"/>
      <protection locked="0"/>
    </xf>
    <xf numFmtId="0" fontId="0" fillId="0" borderId="19" xfId="0" applyBorder="1" applyAlignment="1" applyProtection="1">
      <alignment vertical="center"/>
      <protection locked="0"/>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 fillId="33" borderId="61" xfId="487" applyFill="1" applyBorder="1" applyProtection="1">
      <protection locked="0"/>
    </xf>
    <xf numFmtId="0" fontId="8" fillId="33" borderId="10" xfId="487" applyFill="1" applyBorder="1" applyProtection="1">
      <protection locked="0"/>
    </xf>
    <xf numFmtId="0" fontId="8" fillId="33" borderId="37" xfId="487" applyFill="1" applyBorder="1" applyProtection="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4" fillId="33" borderId="61" xfId="487" applyNumberFormat="1" applyFont="1" applyFill="1" applyBorder="1" applyAlignment="1" applyProtection="1">
      <alignment horizontal="left" vertical="center" wrapText="1"/>
      <protection locked="0"/>
    </xf>
    <xf numFmtId="49" fontId="84" fillId="33" borderId="10" xfId="487" applyNumberFormat="1" applyFont="1" applyFill="1" applyBorder="1" applyAlignment="1" applyProtection="1">
      <alignment horizontal="left" vertical="center" wrapText="1"/>
      <protection locked="0"/>
    </xf>
    <xf numFmtId="49" fontId="84"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3" fillId="33" borderId="61" xfId="487" applyNumberFormat="1" applyFont="1" applyFill="1" applyBorder="1" applyAlignment="1" applyProtection="1">
      <alignment horizontal="left" vertical="center" wrapText="1"/>
      <protection locked="0"/>
    </xf>
    <xf numFmtId="49" fontId="84" fillId="33" borderId="10" xfId="0" applyNumberFormat="1" applyFont="1" applyFill="1" applyBorder="1" applyAlignment="1" applyProtection="1">
      <alignment horizontal="left" vertical="center" wrapText="1"/>
      <protection locked="0"/>
    </xf>
    <xf numFmtId="49" fontId="84"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3" fillId="0" borderId="34" xfId="487" applyFont="1" applyFill="1" applyBorder="1" applyAlignment="1" applyProtection="1">
      <alignment horizontal="left" vertical="center" wrapText="1"/>
    </xf>
    <xf numFmtId="0" fontId="83" fillId="0" borderId="27" xfId="487" applyFont="1" applyFill="1" applyBorder="1" applyAlignment="1" applyProtection="1">
      <alignment horizontal="left" vertical="center" wrapText="1"/>
    </xf>
    <xf numFmtId="0" fontId="83"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430167</xdr:colOff>
      <xdr:row>3</xdr:row>
      <xdr:rowOff>109311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sshuford@akoustis.com" TargetMode="External"/><Relationship Id="rId7" Type="http://schemas.openxmlformats.org/officeDocument/2006/relationships/drawing" Target="../drawings/drawing4.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0.bin"/><Relationship Id="rId5" Type="http://schemas.openxmlformats.org/officeDocument/2006/relationships/hyperlink" Target="https://akoustis.com/wp-content/uploads/2020/06/AKOUSTIS-TECHNOLOGIES-Conflict-Minerals-Statement.v2.pdf" TargetMode="External"/><Relationship Id="rId4" Type="http://schemas.openxmlformats.org/officeDocument/2006/relationships/hyperlink" Target="mailto:sshuford@akoustis.com"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13"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60"/>
      <c r="B2" s="38" t="s">
        <v>870</v>
      </c>
      <c r="C2" s="36"/>
      <c r="D2" s="208"/>
      <c r="E2" s="3"/>
      <c r="F2" s="36"/>
      <c r="G2" s="34"/>
    </row>
    <row r="3" spans="1:7">
      <c r="A3" s="360"/>
      <c r="B3" s="5" t="s">
        <v>862</v>
      </c>
      <c r="C3" s="6"/>
      <c r="D3" s="209"/>
      <c r="E3" s="3"/>
      <c r="F3" s="6"/>
      <c r="G3" s="34"/>
    </row>
    <row r="4" spans="1:7" ht="15.75">
      <c r="A4" s="360"/>
      <c r="B4" s="41" t="s">
        <v>872</v>
      </c>
      <c r="C4" s="7"/>
      <c r="D4" s="210"/>
      <c r="E4" s="3"/>
      <c r="F4" s="7"/>
      <c r="G4" s="34"/>
    </row>
    <row r="5" spans="1:7">
      <c r="A5" s="360"/>
      <c r="B5" s="40" t="s">
        <v>1063</v>
      </c>
      <c r="C5" s="4"/>
      <c r="D5" s="211"/>
      <c r="E5" s="3"/>
      <c r="F5" s="4"/>
      <c r="G5" s="34"/>
    </row>
    <row r="6" spans="1:7">
      <c r="A6" s="360"/>
      <c r="B6" s="8"/>
      <c r="C6" s="8"/>
      <c r="D6" s="212"/>
      <c r="E6" s="8"/>
      <c r="F6" s="8"/>
      <c r="G6" s="34"/>
    </row>
    <row r="7" spans="1:7">
      <c r="A7" s="360"/>
      <c r="B7" s="8"/>
      <c r="C7" s="8"/>
      <c r="D7" s="212"/>
      <c r="E7" s="8"/>
      <c r="F7" s="8"/>
      <c r="G7" s="34"/>
    </row>
    <row r="8" spans="1:7">
      <c r="A8" s="360"/>
      <c r="B8" s="8"/>
      <c r="C8" s="8"/>
      <c r="D8" s="212"/>
      <c r="E8" s="8"/>
      <c r="F8" s="8"/>
      <c r="G8" s="34"/>
    </row>
    <row r="9" spans="1:7">
      <c r="A9" s="360"/>
      <c r="B9" s="363" t="s">
        <v>873</v>
      </c>
      <c r="C9" s="363"/>
      <c r="D9" s="363"/>
      <c r="E9" s="363"/>
      <c r="F9" s="363"/>
      <c r="G9" s="34"/>
    </row>
    <row r="10" spans="1:7" ht="27" customHeight="1">
      <c r="A10" s="360"/>
      <c r="B10" s="364" t="s">
        <v>448</v>
      </c>
      <c r="C10" s="364"/>
      <c r="D10" s="364"/>
      <c r="E10" s="364"/>
      <c r="F10" s="364"/>
      <c r="G10" s="34"/>
    </row>
    <row r="11" spans="1:7" ht="27" customHeight="1">
      <c r="A11" s="360"/>
      <c r="B11" s="365"/>
      <c r="C11" s="365"/>
      <c r="D11" s="365"/>
      <c r="E11" s="365"/>
      <c r="F11" s="365"/>
      <c r="G11" s="34"/>
    </row>
    <row r="12" spans="1:7">
      <c r="A12" s="360"/>
      <c r="B12" s="42" t="s">
        <v>871</v>
      </c>
      <c r="C12" s="43" t="s">
        <v>874</v>
      </c>
      <c r="D12" s="213" t="s">
        <v>875</v>
      </c>
      <c r="E12" s="43" t="s">
        <v>628</v>
      </c>
      <c r="F12" s="43" t="s">
        <v>629</v>
      </c>
      <c r="G12" s="34"/>
    </row>
    <row r="13" spans="1:7" ht="33.75">
      <c r="A13" s="360"/>
      <c r="B13" s="2">
        <v>1</v>
      </c>
      <c r="C13" s="37" t="s">
        <v>1111</v>
      </c>
      <c r="D13" s="39" t="s">
        <v>899</v>
      </c>
      <c r="E13" s="196" t="s">
        <v>876</v>
      </c>
      <c r="F13" s="196"/>
      <c r="G13" s="34"/>
    </row>
    <row r="14" spans="1:7" ht="33.75">
      <c r="A14" s="360"/>
      <c r="B14" s="2">
        <v>2</v>
      </c>
      <c r="C14" s="37" t="s">
        <v>1111</v>
      </c>
      <c r="D14" s="39" t="s">
        <v>1048</v>
      </c>
      <c r="E14" s="196" t="s">
        <v>540</v>
      </c>
      <c r="F14" s="196" t="s">
        <v>541</v>
      </c>
      <c r="G14" s="34"/>
    </row>
    <row r="15" spans="1:7" ht="89.1" customHeight="1">
      <c r="A15" s="360"/>
      <c r="B15" s="366">
        <v>2.0099999999999998</v>
      </c>
      <c r="C15" s="357" t="s">
        <v>1111</v>
      </c>
      <c r="D15" s="369" t="s">
        <v>2358</v>
      </c>
      <c r="E15" s="197" t="s">
        <v>630</v>
      </c>
      <c r="F15" s="197" t="s">
        <v>633</v>
      </c>
      <c r="G15" s="34"/>
    </row>
    <row r="16" spans="1:7" ht="99" customHeight="1">
      <c r="A16" s="360"/>
      <c r="B16" s="367"/>
      <c r="C16" s="358"/>
      <c r="D16" s="370"/>
      <c r="E16" s="198"/>
      <c r="F16" s="198" t="s">
        <v>631</v>
      </c>
      <c r="G16" s="34"/>
    </row>
    <row r="17" spans="1:7" ht="63" customHeight="1">
      <c r="A17" s="360"/>
      <c r="B17" s="368"/>
      <c r="C17" s="359"/>
      <c r="D17" s="371"/>
      <c r="E17" s="37"/>
      <c r="F17" s="37" t="s">
        <v>632</v>
      </c>
      <c r="G17" s="34"/>
    </row>
    <row r="18" spans="1:7" ht="117" customHeight="1">
      <c r="A18" s="360"/>
      <c r="B18" s="366">
        <v>2.02</v>
      </c>
      <c r="C18" s="357" t="s">
        <v>1111</v>
      </c>
      <c r="D18" s="369" t="s">
        <v>2359</v>
      </c>
      <c r="E18" s="197" t="s">
        <v>449</v>
      </c>
      <c r="F18" s="197" t="s">
        <v>535</v>
      </c>
      <c r="G18" s="34"/>
    </row>
    <row r="19" spans="1:7" ht="71.099999999999994" customHeight="1">
      <c r="A19" s="360"/>
      <c r="B19" s="367"/>
      <c r="C19" s="358"/>
      <c r="D19" s="370"/>
      <c r="E19" s="198" t="s">
        <v>539</v>
      </c>
      <c r="F19" s="198" t="s">
        <v>450</v>
      </c>
      <c r="G19" s="34"/>
    </row>
    <row r="20" spans="1:7" ht="90.75" customHeight="1">
      <c r="A20" s="360"/>
      <c r="B20" s="367"/>
      <c r="C20" s="358"/>
      <c r="D20" s="370"/>
      <c r="E20" s="198"/>
      <c r="F20" s="198" t="s">
        <v>635</v>
      </c>
      <c r="G20" s="34"/>
    </row>
    <row r="21" spans="1:7" ht="74.25" customHeight="1">
      <c r="A21" s="360"/>
      <c r="B21" s="368"/>
      <c r="C21" s="359"/>
      <c r="D21" s="371"/>
      <c r="E21" s="37"/>
      <c r="F21" s="37" t="s">
        <v>634</v>
      </c>
      <c r="G21" s="34"/>
    </row>
    <row r="22" spans="1:7" ht="90" customHeight="1">
      <c r="A22" s="360"/>
      <c r="B22" s="351">
        <v>2.0299999999999998</v>
      </c>
      <c r="C22" s="351" t="s">
        <v>845</v>
      </c>
      <c r="D22" s="354" t="s">
        <v>2360</v>
      </c>
      <c r="E22" s="357" t="s">
        <v>447</v>
      </c>
      <c r="F22" s="197" t="s">
        <v>470</v>
      </c>
      <c r="G22" s="34"/>
    </row>
    <row r="23" spans="1:7" ht="109.5" customHeight="1">
      <c r="A23" s="360"/>
      <c r="B23" s="352"/>
      <c r="C23" s="352"/>
      <c r="D23" s="355"/>
      <c r="E23" s="358"/>
      <c r="F23" s="198" t="s">
        <v>846</v>
      </c>
      <c r="G23" s="34"/>
    </row>
    <row r="24" spans="1:7" ht="74.25" customHeight="1">
      <c r="A24" s="360"/>
      <c r="B24" s="353"/>
      <c r="C24" s="353"/>
      <c r="D24" s="356"/>
      <c r="E24" s="359"/>
      <c r="F24" s="37" t="s">
        <v>446</v>
      </c>
      <c r="G24" s="34"/>
    </row>
    <row r="25" spans="1:7" ht="72" customHeight="1">
      <c r="A25" s="360"/>
      <c r="B25" s="2" t="s">
        <v>468</v>
      </c>
      <c r="C25" s="37" t="s">
        <v>469</v>
      </c>
      <c r="D25" s="39" t="s">
        <v>2361</v>
      </c>
      <c r="E25" s="37" t="s">
        <v>2356</v>
      </c>
      <c r="F25" s="37" t="s">
        <v>471</v>
      </c>
      <c r="G25" s="34"/>
    </row>
    <row r="26" spans="1:7" ht="98.1" customHeight="1">
      <c r="A26" s="360"/>
      <c r="B26" s="372">
        <v>3</v>
      </c>
      <c r="C26" s="366" t="s">
        <v>72</v>
      </c>
      <c r="D26" s="369" t="s">
        <v>2362</v>
      </c>
      <c r="E26" s="357" t="s">
        <v>0</v>
      </c>
      <c r="F26" s="197" t="s">
        <v>66</v>
      </c>
      <c r="G26" s="34"/>
    </row>
    <row r="27" spans="1:7" ht="90" customHeight="1">
      <c r="A27" s="360"/>
      <c r="B27" s="373"/>
      <c r="C27" s="367"/>
      <c r="D27" s="370"/>
      <c r="E27" s="358"/>
      <c r="F27" s="198" t="s">
        <v>61</v>
      </c>
      <c r="G27" s="34"/>
    </row>
    <row r="28" spans="1:7" ht="19.350000000000001" customHeight="1">
      <c r="A28" s="360"/>
      <c r="B28" s="373"/>
      <c r="C28" s="367"/>
      <c r="D28" s="370"/>
      <c r="E28" s="358"/>
      <c r="F28" s="198" t="s">
        <v>62</v>
      </c>
      <c r="G28" s="34"/>
    </row>
    <row r="29" spans="1:7" ht="74.45" customHeight="1">
      <c r="A29" s="360"/>
      <c r="B29" s="373"/>
      <c r="C29" s="367"/>
      <c r="D29" s="370"/>
      <c r="E29" s="358"/>
      <c r="F29" s="198" t="s">
        <v>63</v>
      </c>
      <c r="G29" s="34"/>
    </row>
    <row r="30" spans="1:7" ht="62.45" customHeight="1">
      <c r="A30" s="360"/>
      <c r="B30" s="373"/>
      <c r="C30" s="367"/>
      <c r="D30" s="370"/>
      <c r="E30" s="358"/>
      <c r="F30" s="198" t="s">
        <v>64</v>
      </c>
      <c r="G30" s="34"/>
    </row>
    <row r="31" spans="1:7" ht="81" customHeight="1">
      <c r="A31" s="360"/>
      <c r="B31" s="373"/>
      <c r="C31" s="367"/>
      <c r="D31" s="370"/>
      <c r="E31" s="358"/>
      <c r="F31" s="198" t="s">
        <v>65</v>
      </c>
      <c r="G31" s="34"/>
    </row>
    <row r="32" spans="1:7" ht="48.75" customHeight="1">
      <c r="A32" s="360"/>
      <c r="B32" s="373"/>
      <c r="C32" s="367"/>
      <c r="D32" s="370"/>
      <c r="E32" s="358"/>
      <c r="F32" s="198" t="s">
        <v>68</v>
      </c>
      <c r="G32" s="34"/>
    </row>
    <row r="33" spans="1:7" ht="98.45" customHeight="1">
      <c r="A33" s="360"/>
      <c r="B33" s="373"/>
      <c r="C33" s="367"/>
      <c r="D33" s="370"/>
      <c r="E33" s="358"/>
      <c r="F33" s="198" t="s">
        <v>67</v>
      </c>
      <c r="G33" s="34"/>
    </row>
    <row r="34" spans="1:7" ht="89.1" customHeight="1">
      <c r="A34" s="360"/>
      <c r="B34" s="373"/>
      <c r="C34" s="367"/>
      <c r="D34" s="370"/>
      <c r="E34" s="358"/>
      <c r="F34" s="198" t="s">
        <v>69</v>
      </c>
      <c r="G34" s="34"/>
    </row>
    <row r="35" spans="1:7" ht="29.1" customHeight="1">
      <c r="A35" s="360"/>
      <c r="B35" s="373"/>
      <c r="C35" s="367"/>
      <c r="D35" s="370"/>
      <c r="E35" s="358"/>
      <c r="F35" s="198" t="s">
        <v>70</v>
      </c>
      <c r="G35" s="34"/>
    </row>
    <row r="36" spans="1:7" ht="126.75">
      <c r="A36" s="360"/>
      <c r="B36" s="374"/>
      <c r="C36" s="368"/>
      <c r="D36" s="371"/>
      <c r="E36" s="359"/>
      <c r="F36" s="199" t="s">
        <v>71</v>
      </c>
      <c r="G36" s="34"/>
    </row>
    <row r="37" spans="1:7" ht="112.5">
      <c r="A37" s="360"/>
      <c r="B37" s="171">
        <v>3.01</v>
      </c>
      <c r="C37" s="172" t="s">
        <v>72</v>
      </c>
      <c r="D37" s="39" t="s">
        <v>2363</v>
      </c>
      <c r="E37" s="200" t="s">
        <v>1351</v>
      </c>
      <c r="F37" s="201" t="s">
        <v>1457</v>
      </c>
      <c r="G37" s="34"/>
    </row>
    <row r="38" spans="1:7" ht="101.25">
      <c r="A38" s="360"/>
      <c r="B38" s="171">
        <v>3.02</v>
      </c>
      <c r="C38" s="172" t="s">
        <v>1384</v>
      </c>
      <c r="D38" s="39" t="s">
        <v>2364</v>
      </c>
      <c r="E38" s="200" t="s">
        <v>1399</v>
      </c>
      <c r="F38" s="201" t="s">
        <v>1458</v>
      </c>
      <c r="G38" s="34"/>
    </row>
    <row r="39" spans="1:7" ht="101.25">
      <c r="A39" s="360"/>
      <c r="B39" s="182">
        <v>4</v>
      </c>
      <c r="C39" s="181" t="s">
        <v>1554</v>
      </c>
      <c r="D39" s="39" t="s">
        <v>2365</v>
      </c>
      <c r="E39" s="37" t="s">
        <v>2307</v>
      </c>
      <c r="F39" s="37" t="s">
        <v>1555</v>
      </c>
      <c r="G39" s="34"/>
    </row>
    <row r="40" spans="1:7" ht="56.25">
      <c r="A40" s="360"/>
      <c r="B40" s="171">
        <v>4.01</v>
      </c>
      <c r="C40" s="181" t="s">
        <v>1554</v>
      </c>
      <c r="D40" s="39" t="s">
        <v>2367</v>
      </c>
      <c r="E40" s="37" t="s">
        <v>2321</v>
      </c>
      <c r="F40" s="37" t="s">
        <v>2326</v>
      </c>
      <c r="G40" s="34"/>
    </row>
    <row r="41" spans="1:7" ht="56.25">
      <c r="A41" s="360"/>
      <c r="B41" s="171" t="s">
        <v>2354</v>
      </c>
      <c r="C41" s="181" t="s">
        <v>1554</v>
      </c>
      <c r="D41" s="39" t="s">
        <v>2366</v>
      </c>
      <c r="E41" s="37" t="s">
        <v>2357</v>
      </c>
      <c r="F41" s="37" t="s">
        <v>2355</v>
      </c>
      <c r="G41" s="34"/>
    </row>
    <row r="42" spans="1:7" ht="56.25">
      <c r="A42" s="360"/>
      <c r="B42" s="171" t="s">
        <v>2399</v>
      </c>
      <c r="C42" s="181" t="s">
        <v>1554</v>
      </c>
      <c r="D42" s="39" t="s">
        <v>2406</v>
      </c>
      <c r="E42" s="37" t="s">
        <v>2356</v>
      </c>
      <c r="F42" s="37" t="s">
        <v>2400</v>
      </c>
      <c r="G42" s="34"/>
    </row>
    <row r="43" spans="1:7" ht="123.75">
      <c r="A43" s="360"/>
      <c r="B43" s="193">
        <v>4.0999999999999996</v>
      </c>
      <c r="C43" s="181" t="s">
        <v>2405</v>
      </c>
      <c r="D43" s="194">
        <v>42867</v>
      </c>
      <c r="E43" s="202" t="s">
        <v>2408</v>
      </c>
      <c r="F43" s="37" t="s">
        <v>2407</v>
      </c>
      <c r="G43" s="34"/>
    </row>
    <row r="44" spans="1:7" ht="78.75">
      <c r="A44" s="360"/>
      <c r="B44" s="193">
        <v>4.2</v>
      </c>
      <c r="C44" s="181" t="s">
        <v>2405</v>
      </c>
      <c r="D44" s="194">
        <v>42704</v>
      </c>
      <c r="E44" s="202" t="s">
        <v>2625</v>
      </c>
      <c r="F44" s="37" t="s">
        <v>2598</v>
      </c>
      <c r="G44" s="34"/>
    </row>
    <row r="45" spans="1:7" ht="157.5">
      <c r="A45" s="360"/>
      <c r="B45" s="243">
        <v>5</v>
      </c>
      <c r="C45" s="181" t="s">
        <v>2405</v>
      </c>
      <c r="D45" s="194">
        <v>42867</v>
      </c>
      <c r="E45" s="202" t="s">
        <v>13032</v>
      </c>
      <c r="F45" s="37" t="s">
        <v>12754</v>
      </c>
      <c r="G45" s="34"/>
    </row>
    <row r="46" spans="1:7" ht="45">
      <c r="A46" s="360"/>
      <c r="B46" s="193">
        <v>5.01</v>
      </c>
      <c r="C46" s="181" t="s">
        <v>2405</v>
      </c>
      <c r="D46" s="194">
        <v>42907</v>
      </c>
      <c r="E46" s="202" t="s">
        <v>13052</v>
      </c>
      <c r="F46" s="37" t="s">
        <v>12754</v>
      </c>
      <c r="G46" s="34"/>
    </row>
    <row r="47" spans="1:7" ht="67.5">
      <c r="A47" s="360"/>
      <c r="B47" s="193">
        <v>5.0999999999999996</v>
      </c>
      <c r="C47" s="181" t="s">
        <v>2405</v>
      </c>
      <c r="D47" s="194">
        <v>43070</v>
      </c>
      <c r="E47" s="202" t="s">
        <v>13247</v>
      </c>
      <c r="F47" s="37" t="s">
        <v>13248</v>
      </c>
      <c r="G47" s="34"/>
    </row>
    <row r="48" spans="1:7" ht="56.25">
      <c r="A48" s="360"/>
      <c r="B48" s="193">
        <v>5.1100000000000003</v>
      </c>
      <c r="C48" s="181" t="s">
        <v>13489</v>
      </c>
      <c r="D48" s="194">
        <v>43217</v>
      </c>
      <c r="E48" s="202" t="s">
        <v>13617</v>
      </c>
      <c r="F48" s="37" t="s">
        <v>13523</v>
      </c>
      <c r="G48" s="34"/>
    </row>
    <row r="49" spans="1:7" ht="56.25">
      <c r="A49" s="360"/>
      <c r="B49" s="193">
        <v>5.12</v>
      </c>
      <c r="C49" s="181" t="s">
        <v>13489</v>
      </c>
      <c r="D49" s="194">
        <v>43581</v>
      </c>
      <c r="E49" s="202" t="s">
        <v>13617</v>
      </c>
      <c r="F49" s="37" t="s">
        <v>14191</v>
      </c>
      <c r="G49" s="34"/>
    </row>
    <row r="50" spans="1:7" ht="78.75">
      <c r="A50" s="360"/>
      <c r="B50" s="243">
        <v>6</v>
      </c>
      <c r="C50" s="181" t="s">
        <v>13489</v>
      </c>
      <c r="D50" s="194">
        <v>43964</v>
      </c>
      <c r="E50" s="202" t="s">
        <v>14433</v>
      </c>
      <c r="F50" s="37" t="s">
        <v>14204</v>
      </c>
      <c r="G50" s="34"/>
    </row>
    <row r="51" spans="1:7" ht="45">
      <c r="A51" s="360"/>
      <c r="B51" s="193">
        <v>6.01</v>
      </c>
      <c r="C51" s="181" t="s">
        <v>13489</v>
      </c>
      <c r="D51" s="194">
        <v>43970</v>
      </c>
      <c r="E51" s="202" t="s">
        <v>15503</v>
      </c>
      <c r="F51" s="202" t="s">
        <v>14204</v>
      </c>
      <c r="G51" s="34"/>
    </row>
    <row r="52" spans="1:7" ht="13.5" thickBot="1">
      <c r="A52" s="361"/>
      <c r="B52" s="362" t="str">
        <f ca="1">OFFSET(L!$C$1,MATCH("General"&amp;"Cpy",L!$A:$A,0)-1,SL,,)</f>
        <v>© 2020 Responsible Minerals Initiative. All rights reserved.</v>
      </c>
      <c r="C52" s="362"/>
      <c r="D52" s="362"/>
      <c r="E52" s="362"/>
      <c r="F52" s="362"/>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B26:B36"/>
    <mergeCell ref="B22:B24"/>
    <mergeCell ref="C22:C24"/>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E32A804D-E475-4117-B9A5-2D7E194F44DC}"/>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C0F53CE6-0B13-4FAA-8DCB-31CA56ADC576}"/>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election activeCell="F1" sqref="F1"/>
    </sheetView>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9" activePane="bottomLeft" state="frozen"/>
      <selection activeCell="A4" sqref="A4"/>
      <selection pane="bottomLeft" activeCell="L5" sqref="L5"/>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5"/>
      <c r="B1" s="376"/>
      <c r="C1" s="376"/>
      <c r="D1" s="377"/>
    </row>
    <row r="2" spans="1:5" ht="71.25" customHeight="1">
      <c r="A2" s="87"/>
      <c r="B2" s="167" t="str">
        <f ca="1">OFFSET(L!$C$1,MATCH("Definitions"&amp;ADDRESS(ROW(),COLUMN(),4),L!$A:$A,0)-1,SL,,)</f>
        <v>ITEM</v>
      </c>
      <c r="C2" s="167" t="str">
        <f ca="1">OFFSET(L!$C$1,MATCH("Definitions"&amp;ADDRESS(ROW(),COLUMN(),4),L!$A:$A,0)-1,SL,,)</f>
        <v>DEFINITION</v>
      </c>
      <c r="D2" s="379"/>
      <c r="E2" s="127"/>
    </row>
    <row r="3" spans="1:5" ht="63.95" customHeight="1">
      <c r="A3" s="87"/>
      <c r="B3" s="74" t="str">
        <f ca="1">OFFSET(L!$C$1,MATCH("Definitions"&amp;ADDRESS(ROW(),COLUMN(),4),L!$A:$A,0)-1,SL,,)</f>
        <v>3TG</v>
      </c>
      <c r="C3" s="74" t="str">
        <f ca="1">OFFSET(L!$C$1,MATCH("Definitions"&amp;ADDRESS(ROW(),COLUMN(),4),L!$A:$A,0)-1,SL,,)</f>
        <v>Tantalum, tin, tungsten, gold</v>
      </c>
      <c r="D3" s="379"/>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9"/>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9"/>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9"/>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9"/>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9"/>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9"/>
      <c r="E9" s="128" t="s">
        <v>1336</v>
      </c>
    </row>
    <row r="10" spans="1:5" ht="45">
      <c r="A10" s="87"/>
      <c r="B10" s="74" t="str">
        <f ca="1">OFFSET(L!$C$1,MATCH("Definitions"&amp;ADDRESS(ROW(),COLUMN(),4),L!$A:$A,0)-1,SL,,)</f>
        <v>DRC</v>
      </c>
      <c r="C10" s="74" t="str">
        <f ca="1">OFFSET(L!$C$1,MATCH("Definitions"&amp;ADDRESS(ROW(),COLUMN(),4),L!$A:$A,0)-1,SL,,)</f>
        <v>Democratic Republic of Congo</v>
      </c>
      <c r="D10" s="379"/>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9"/>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9"/>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9"/>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9"/>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9"/>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9"/>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9"/>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9"/>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9"/>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9"/>
      <c r="E20" s="128"/>
    </row>
    <row r="21" spans="1:5" ht="15">
      <c r="A21" s="87"/>
      <c r="B21" s="74" t="str">
        <f ca="1">OFFSET(L!$C$1,MATCH("Definitions"&amp;ADDRESS(ROW(),COLUMN(),4),L!$A:$A,0)-1,SL,,)</f>
        <v>RBA</v>
      </c>
      <c r="C21" s="74" t="str">
        <f ca="1">OFFSET(L!$C$1,MATCH("Definitions"&amp;ADDRESS(ROW(),COLUMN(),4),L!$A:$A,0)-1,SL,,)</f>
        <v>Responsible Business Alliance (www.responsiblebusiness.org)</v>
      </c>
      <c r="D21" s="379"/>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9"/>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9"/>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9"/>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9"/>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9"/>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9"/>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9"/>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9"/>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9"/>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9"/>
      <c r="E31" s="128"/>
    </row>
    <row r="32" spans="1:5" ht="15">
      <c r="A32" s="87"/>
      <c r="B32" s="378" t="str">
        <f ca="1">OFFSET(L!$C$1,MATCH("General"&amp;"Cpy",L!$A:$A,0)-1,SL,,)</f>
        <v>© 2020 Responsible Minerals Initiative. All rights reserved.</v>
      </c>
      <c r="C32" s="378"/>
      <c r="D32" s="379"/>
      <c r="E32" s="128"/>
    </row>
    <row r="33" spans="1:4" ht="13.5" thickBot="1">
      <c r="A33" s="88"/>
      <c r="B33" s="185"/>
      <c r="C33" s="185"/>
      <c r="D33" s="380"/>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B8" sqref="B8"/>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3"/>
      <c r="B1" s="404"/>
      <c r="C1" s="404"/>
      <c r="D1" s="404"/>
      <c r="E1" s="404"/>
      <c r="F1" s="404"/>
      <c r="G1" s="404"/>
      <c r="H1" s="404"/>
      <c r="I1" s="404"/>
      <c r="J1" s="404"/>
      <c r="K1" s="405"/>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6" t="str">
        <f ca="1">OFFSET(L!$C$1,MATCH("Declaration"&amp;ADDRESS(ROW(),COLUMN(),4),L!$A:$A,0)-1,SL,,)</f>
        <v>Conflict Minerals Reporting Template (CMRT)</v>
      </c>
      <c r="E2" s="407"/>
      <c r="F2" s="407"/>
      <c r="G2" s="407"/>
      <c r="H2" s="407"/>
      <c r="I2" s="407"/>
      <c r="J2" s="408"/>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6"/>
      <c r="G3" s="416"/>
      <c r="H3" s="416"/>
      <c r="I3" s="184"/>
      <c r="J3" s="168" t="s">
        <v>15505</v>
      </c>
      <c r="K3" s="47"/>
      <c r="L3" s="139"/>
      <c r="M3" s="130"/>
      <c r="N3" s="130"/>
      <c r="O3" s="131"/>
      <c r="P3" s="144">
        <f>MATCH($D$3,LN,0)</f>
        <v>1</v>
      </c>
    </row>
    <row r="4" spans="1:34" ht="15.75">
      <c r="A4" s="45"/>
      <c r="B4" s="412" t="str">
        <f ca="1">OFFSET(L!$C$1,MATCH("Declaration"&amp;ADDRESS(ROW(),COLUMN(),4),L!$A:$A,0)-1,SL,,)</f>
        <v>The purpose of this document is to collect sourcing information on tin, tantalum, tungsten and gold used in products</v>
      </c>
      <c r="C4" s="412"/>
      <c r="D4" s="412"/>
      <c r="E4" s="412"/>
      <c r="F4" s="412"/>
      <c r="G4" s="412"/>
      <c r="H4" s="412"/>
      <c r="I4" s="417" t="str">
        <f ca="1">OFFSET(L!$C$1,MATCH("Declaration"&amp;ADDRESS(ROW(),COLUMN(),4),L!$A:$A,0)-1,SL,,)</f>
        <v>Link to Terms &amp; Conditions</v>
      </c>
      <c r="J4" s="417"/>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A</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12" t="str">
        <f ca="1">OFFSET(L!$C$1,MATCH("Declaration"&amp;ADDRESS(ROW(),COLUMN(),4),L!$A:$A,0)-1,SL,,)</f>
        <v>Mandatory fields are noted with an asterisk (*).  Consult the instructions tab for guidance on how to answer each question.</v>
      </c>
      <c r="C6" s="412"/>
      <c r="D6" s="412"/>
      <c r="E6" s="412"/>
      <c r="F6" s="412"/>
      <c r="G6" s="412"/>
      <c r="H6" s="412"/>
      <c r="I6" s="412"/>
      <c r="J6" s="412"/>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21" t="str">
        <f ca="1">OFFSET(L!$C$1,MATCH("Declaration"&amp;ADDRESS(ROW(),COLUMN(),4),L!$A:$A,0)-1,SL,,)</f>
        <v>Company Information</v>
      </c>
      <c r="C7" s="421"/>
      <c r="D7" s="421"/>
      <c r="E7" s="421"/>
      <c r="F7" s="421"/>
      <c r="G7" s="421"/>
      <c r="H7" s="421"/>
      <c r="I7" s="421"/>
      <c r="J7" s="421"/>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9" t="s">
        <v>15507</v>
      </c>
      <c r="E8" s="410"/>
      <c r="F8" s="410"/>
      <c r="G8" s="410"/>
      <c r="H8" s="410"/>
      <c r="I8" s="410"/>
      <c r="J8" s="411"/>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8" t="s">
        <v>504</v>
      </c>
      <c r="E9" s="419"/>
      <c r="F9" s="419"/>
      <c r="G9" s="420"/>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22" t="str">
        <f ca="1">OFFSET(L!$C$1,MATCH("Declaration"&amp;ADDRESS(ROW(),COLUMN(),4)&amp;LEFT($D$9,1),L!$A:$A,0)-1,SL,,)</f>
        <v>Description of Scope:</v>
      </c>
      <c r="C10" s="151"/>
      <c r="D10" s="413" t="s">
        <v>15515</v>
      </c>
      <c r="E10" s="414"/>
      <c r="F10" s="414"/>
      <c r="G10" s="414"/>
      <c r="H10" s="414"/>
      <c r="I10" s="414"/>
      <c r="J10" s="415"/>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3"/>
      <c r="C11" s="151"/>
      <c r="D11" s="432" t="str">
        <f ca="1">IF(D9=Q9,OFFSET(L!$C$1,MATCH("Declaration"&amp;ADDRESS(ROW(),COLUMN(),4),L!$A:$A,0)-1,SL,,),"")</f>
        <v/>
      </c>
      <c r="E11" s="433"/>
      <c r="F11" s="433"/>
      <c r="G11" s="433"/>
      <c r="H11" s="433"/>
      <c r="I11" s="433"/>
      <c r="J11" s="434"/>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5"/>
      <c r="E12" s="396"/>
      <c r="F12" s="396"/>
      <c r="G12" s="396"/>
      <c r="H12" s="396"/>
      <c r="I12" s="396"/>
      <c r="J12" s="397"/>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5"/>
      <c r="E13" s="396"/>
      <c r="F13" s="396"/>
      <c r="G13" s="396"/>
      <c r="H13" s="396"/>
      <c r="I13" s="396"/>
      <c r="J13" s="397"/>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5" t="s">
        <v>15508</v>
      </c>
      <c r="E14" s="396"/>
      <c r="F14" s="396"/>
      <c r="G14" s="396"/>
      <c r="H14" s="396"/>
      <c r="I14" s="396"/>
      <c r="J14" s="397"/>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5" t="s">
        <v>15509</v>
      </c>
      <c r="E15" s="396"/>
      <c r="F15" s="396"/>
      <c r="G15" s="396"/>
      <c r="H15" s="396"/>
      <c r="I15" s="396"/>
      <c r="J15" s="397"/>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4" t="s">
        <v>15510</v>
      </c>
      <c r="E16" s="425"/>
      <c r="F16" s="425"/>
      <c r="G16" s="425"/>
      <c r="H16" s="425"/>
      <c r="I16" s="425"/>
      <c r="J16" s="426"/>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5" t="s">
        <v>15511</v>
      </c>
      <c r="E17" s="396"/>
      <c r="F17" s="396"/>
      <c r="G17" s="396"/>
      <c r="H17" s="396"/>
      <c r="I17" s="396"/>
      <c r="J17" s="397"/>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5" t="s">
        <v>15509</v>
      </c>
      <c r="E18" s="396"/>
      <c r="F18" s="396"/>
      <c r="G18" s="396"/>
      <c r="H18" s="396"/>
      <c r="I18" s="396"/>
      <c r="J18" s="397"/>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5" t="s">
        <v>15512</v>
      </c>
      <c r="E19" s="396"/>
      <c r="F19" s="396"/>
      <c r="G19" s="396"/>
      <c r="H19" s="396"/>
      <c r="I19" s="396"/>
      <c r="J19" s="397"/>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4" t="s">
        <v>15510</v>
      </c>
      <c r="E20" s="425"/>
      <c r="F20" s="425"/>
      <c r="G20" s="425"/>
      <c r="H20" s="425"/>
      <c r="I20" s="425"/>
      <c r="J20" s="426"/>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9" t="s">
        <v>15511</v>
      </c>
      <c r="E21" s="390"/>
      <c r="F21" s="390"/>
      <c r="G21" s="390"/>
      <c r="H21" s="390"/>
      <c r="I21" s="390"/>
      <c r="J21" s="391"/>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92">
        <v>44317</v>
      </c>
      <c r="E22" s="393"/>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9"/>
      <c r="E23" s="429"/>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4" t="str">
        <f ca="1">OFFSET(L!$C$1,MATCH("Declaration"&amp;ADDRESS(ROW(),COLUMN(),4),L!$A:$A,0)-1,SL,,)</f>
        <v>Answer the following questions 1 - 8 based on the declaration scope indicated above</v>
      </c>
      <c r="C24" s="394"/>
      <c r="D24" s="394"/>
      <c r="E24" s="394"/>
      <c r="F24" s="394"/>
      <c r="G24" s="394"/>
      <c r="H24" s="394"/>
      <c r="I24" s="394"/>
      <c r="J24" s="394"/>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30" t="str">
        <f ca="1">OFFSET(L!$C$1,MATCH("Declaration"&amp;ADDRESS(ROW(),COLUMN(),4),L!$A:$A,0)-1,SL,,)</f>
        <v>Answer</v>
      </c>
      <c r="E25" s="430"/>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81" t="s">
        <v>498</v>
      </c>
      <c r="E26" s="382"/>
      <c r="F26" s="15"/>
      <c r="G26" s="383"/>
      <c r="H26" s="384"/>
      <c r="I26" s="384"/>
      <c r="J26" s="385"/>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81" t="s">
        <v>498</v>
      </c>
      <c r="E27" s="382"/>
      <c r="F27" s="15"/>
      <c r="G27" s="383"/>
      <c r="H27" s="384"/>
      <c r="I27" s="384"/>
      <c r="J27" s="385"/>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81" t="s">
        <v>498</v>
      </c>
      <c r="E28" s="382"/>
      <c r="F28" s="15"/>
      <c r="G28" s="383"/>
      <c r="H28" s="384"/>
      <c r="I28" s="384"/>
      <c r="J28" s="385"/>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81" t="s">
        <v>498</v>
      </c>
      <c r="E29" s="382"/>
      <c r="F29" s="15"/>
      <c r="G29" s="383"/>
      <c r="H29" s="384"/>
      <c r="I29" s="384"/>
      <c r="J29" s="385"/>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8" t="str">
        <f ca="1">D25</f>
        <v>Answer</v>
      </c>
      <c r="E31" s="388"/>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8" t="s">
        <v>498</v>
      </c>
      <c r="E32" s="399"/>
      <c r="F32" s="58"/>
      <c r="G32" s="383"/>
      <c r="H32" s="384"/>
      <c r="I32" s="384"/>
      <c r="J32" s="385"/>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81" t="s">
        <v>498</v>
      </c>
      <c r="E33" s="382"/>
      <c r="F33" s="58"/>
      <c r="G33" s="383"/>
      <c r="H33" s="384"/>
      <c r="I33" s="384"/>
      <c r="J33" s="385"/>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81" t="s">
        <v>498</v>
      </c>
      <c r="E34" s="382"/>
      <c r="F34" s="58"/>
      <c r="G34" s="383"/>
      <c r="H34" s="384"/>
      <c r="I34" s="384"/>
      <c r="J34" s="385"/>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81" t="s">
        <v>498</v>
      </c>
      <c r="E35" s="382"/>
      <c r="F35" s="58"/>
      <c r="G35" s="383"/>
      <c r="H35" s="384"/>
      <c r="I35" s="384"/>
      <c r="J35" s="385"/>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8" t="str">
        <f ca="1">D25</f>
        <v>Answer</v>
      </c>
      <c r="E37" s="388"/>
      <c r="F37" s="21"/>
      <c r="G37" s="55" t="str">
        <f ca="1">G25</f>
        <v>Comments</v>
      </c>
      <c r="H37" s="428"/>
      <c r="I37" s="428"/>
      <c r="J37" s="428"/>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81" t="s">
        <v>498</v>
      </c>
      <c r="E38" s="382"/>
      <c r="F38" s="58"/>
      <c r="G38" s="383"/>
      <c r="H38" s="384"/>
      <c r="I38" s="384"/>
      <c r="J38" s="385"/>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81" t="s">
        <v>498</v>
      </c>
      <c r="E39" s="382"/>
      <c r="F39" s="58"/>
      <c r="G39" s="383"/>
      <c r="H39" s="384"/>
      <c r="I39" s="384"/>
      <c r="J39" s="385"/>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81" t="s">
        <v>498</v>
      </c>
      <c r="E40" s="382"/>
      <c r="F40" s="58"/>
      <c r="G40" s="383"/>
      <c r="H40" s="384"/>
      <c r="I40" s="384"/>
      <c r="J40" s="385"/>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81" t="s">
        <v>498</v>
      </c>
      <c r="E41" s="382"/>
      <c r="F41" s="58"/>
      <c r="G41" s="383"/>
      <c r="H41" s="384"/>
      <c r="I41" s="384"/>
      <c r="J41" s="385"/>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8" t="str">
        <f ca="1">D25</f>
        <v>Answer</v>
      </c>
      <c r="E43" s="388"/>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81" t="s">
        <v>499</v>
      </c>
      <c r="E44" s="382"/>
      <c r="F44" s="58"/>
      <c r="G44" s="383"/>
      <c r="H44" s="384"/>
      <c r="I44" s="384"/>
      <c r="J44" s="385"/>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81" t="s">
        <v>498</v>
      </c>
      <c r="E45" s="382"/>
      <c r="F45" s="58"/>
      <c r="G45" s="383" t="s">
        <v>15514</v>
      </c>
      <c r="H45" s="384"/>
      <c r="I45" s="384"/>
      <c r="J45" s="385"/>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81" t="s">
        <v>499</v>
      </c>
      <c r="E46" s="382"/>
      <c r="F46" s="58"/>
      <c r="G46" s="383"/>
      <c r="H46" s="384"/>
      <c r="I46" s="384"/>
      <c r="J46" s="385"/>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81" t="s">
        <v>499</v>
      </c>
      <c r="E47" s="382"/>
      <c r="F47" s="58"/>
      <c r="G47" s="383"/>
      <c r="H47" s="384"/>
      <c r="I47" s="384"/>
      <c r="J47" s="385"/>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8" t="str">
        <f ca="1">D25</f>
        <v>Answer</v>
      </c>
      <c r="E49" s="388"/>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81" t="s">
        <v>499</v>
      </c>
      <c r="E50" s="382"/>
      <c r="F50" s="58"/>
      <c r="G50" s="383"/>
      <c r="H50" s="384"/>
      <c r="I50" s="384"/>
      <c r="J50" s="385"/>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81" t="s">
        <v>499</v>
      </c>
      <c r="E51" s="382"/>
      <c r="F51" s="58"/>
      <c r="G51" s="383"/>
      <c r="H51" s="384"/>
      <c r="I51" s="384"/>
      <c r="J51" s="385"/>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81" t="s">
        <v>499</v>
      </c>
      <c r="E52" s="382"/>
      <c r="F52" s="58"/>
      <c r="G52" s="383"/>
      <c r="H52" s="384"/>
      <c r="I52" s="384"/>
      <c r="J52" s="385"/>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81" t="s">
        <v>499</v>
      </c>
      <c r="E53" s="382"/>
      <c r="F53" s="58"/>
      <c r="G53" s="383"/>
      <c r="H53" s="384"/>
      <c r="I53" s="384"/>
      <c r="J53" s="385"/>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8" t="str">
        <f ca="1">D25</f>
        <v>Answer</v>
      </c>
      <c r="E55" s="388"/>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86">
        <v>1</v>
      </c>
      <c r="E56" s="387"/>
      <c r="F56" s="58"/>
      <c r="G56" s="383"/>
      <c r="H56" s="384"/>
      <c r="I56" s="384"/>
      <c r="J56" s="385"/>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6">
        <v>1</v>
      </c>
      <c r="E57" s="387"/>
      <c r="F57" s="58"/>
      <c r="G57" s="383"/>
      <c r="H57" s="384"/>
      <c r="I57" s="384"/>
      <c r="J57" s="385"/>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6">
        <v>1</v>
      </c>
      <c r="E58" s="387"/>
      <c r="F58" s="58"/>
      <c r="G58" s="383"/>
      <c r="H58" s="384"/>
      <c r="I58" s="384"/>
      <c r="J58" s="385"/>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86">
        <v>1</v>
      </c>
      <c r="E59" s="387"/>
      <c r="F59" s="58"/>
      <c r="G59" s="383"/>
      <c r="H59" s="384"/>
      <c r="I59" s="384"/>
      <c r="J59" s="385"/>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8" t="str">
        <f ca="1">D25</f>
        <v>Answer</v>
      </c>
      <c r="E61" s="388"/>
      <c r="F61" s="21"/>
      <c r="G61" s="55" t="str">
        <f ca="1">G25</f>
        <v>Comments</v>
      </c>
      <c r="H61" s="427"/>
      <c r="I61" s="427"/>
      <c r="J61" s="427"/>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8" t="s">
        <v>498</v>
      </c>
      <c r="E62" s="399"/>
      <c r="F62" s="58"/>
      <c r="G62" s="383"/>
      <c r="H62" s="384"/>
      <c r="I62" s="384"/>
      <c r="J62" s="385"/>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81" t="s">
        <v>498</v>
      </c>
      <c r="E63" s="382"/>
      <c r="F63" s="58"/>
      <c r="G63" s="383"/>
      <c r="H63" s="384"/>
      <c r="I63" s="384"/>
      <c r="J63" s="385"/>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81" t="s">
        <v>498</v>
      </c>
      <c r="E64" s="382"/>
      <c r="F64" s="58"/>
      <c r="G64" s="383"/>
      <c r="H64" s="384"/>
      <c r="I64" s="384"/>
      <c r="J64" s="385"/>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81" t="s">
        <v>498</v>
      </c>
      <c r="E65" s="382"/>
      <c r="F65" s="58"/>
      <c r="G65" s="383"/>
      <c r="H65" s="384"/>
      <c r="I65" s="384"/>
      <c r="J65" s="385"/>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8" t="str">
        <f ca="1">D25</f>
        <v>Answer</v>
      </c>
      <c r="E67" s="388"/>
      <c r="F67" s="21"/>
      <c r="G67" s="55" t="str">
        <f ca="1">G25</f>
        <v>Comments</v>
      </c>
      <c r="H67" s="427" t="str">
        <f>IF(Q75="(*)","Click here to enter smelter names","")</f>
        <v/>
      </c>
      <c r="I67" s="427"/>
      <c r="J67" s="427"/>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81" t="s">
        <v>498</v>
      </c>
      <c r="E68" s="382"/>
      <c r="F68" s="59"/>
      <c r="G68" s="383"/>
      <c r="H68" s="384"/>
      <c r="I68" s="384"/>
      <c r="J68" s="385"/>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81" t="s">
        <v>498</v>
      </c>
      <c r="E69" s="382"/>
      <c r="F69" s="59"/>
      <c r="G69" s="383"/>
      <c r="H69" s="384"/>
      <c r="I69" s="384"/>
      <c r="J69" s="385"/>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81" t="s">
        <v>498</v>
      </c>
      <c r="E70" s="382"/>
      <c r="F70" s="59"/>
      <c r="G70" s="383"/>
      <c r="H70" s="384"/>
      <c r="I70" s="384"/>
      <c r="J70" s="385"/>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81" t="s">
        <v>498</v>
      </c>
      <c r="E71" s="382"/>
      <c r="F71" s="61"/>
      <c r="G71" s="383"/>
      <c r="H71" s="384"/>
      <c r="I71" s="384"/>
      <c r="J71" s="385"/>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41" t="str">
        <f ca="1">OFFSET(L!$C$1,MATCH("Declaration"&amp;ADDRESS(ROW(),COLUMN(),4),L!$A:$A,0)-1,SL,,)</f>
        <v>Answer the Following Questions at a Company Level</v>
      </c>
      <c r="C73" s="441"/>
      <c r="D73" s="441"/>
      <c r="E73" s="441"/>
      <c r="F73" s="441"/>
      <c r="G73" s="441"/>
      <c r="H73" s="441"/>
      <c r="I73" s="441"/>
      <c r="J73" s="441"/>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30" t="str">
        <f ca="1">D25</f>
        <v>Answer</v>
      </c>
      <c r="E74" s="430"/>
      <c r="F74" s="64"/>
      <c r="G74" s="430" t="str">
        <f ca="1">G25</f>
        <v>Comments</v>
      </c>
      <c r="H74" s="430" t="e">
        <f>HLOOKUP(SL,LT,$O74,0)</f>
        <v>#NAME?</v>
      </c>
      <c r="I74" s="430"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81" t="s">
        <v>498</v>
      </c>
      <c r="E75" s="382"/>
      <c r="F75" s="68"/>
      <c r="G75" s="383"/>
      <c r="H75" s="384"/>
      <c r="I75" s="384"/>
      <c r="J75" s="385"/>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31"/>
      <c r="H76" s="431"/>
      <c r="I76" s="431"/>
      <c r="J76" s="431"/>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81" t="s">
        <v>498</v>
      </c>
      <c r="E77" s="382"/>
      <c r="F77" s="68"/>
      <c r="G77" s="400" t="s">
        <v>15513</v>
      </c>
      <c r="H77" s="401"/>
      <c r="I77" s="401"/>
      <c r="J77" s="402"/>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81" t="s">
        <v>498</v>
      </c>
      <c r="E79" s="382"/>
      <c r="F79" s="68"/>
      <c r="G79" s="383"/>
      <c r="H79" s="384"/>
      <c r="I79" s="384"/>
      <c r="J79" s="385"/>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81" t="s">
        <v>498</v>
      </c>
      <c r="E81" s="382"/>
      <c r="F81" s="68"/>
      <c r="G81" s="383"/>
      <c r="H81" s="384"/>
      <c r="I81" s="384"/>
      <c r="J81" s="385"/>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81" t="s">
        <v>15442</v>
      </c>
      <c r="E83" s="382"/>
      <c r="F83" s="68"/>
      <c r="G83" s="383"/>
      <c r="H83" s="384"/>
      <c r="I83" s="384"/>
      <c r="J83" s="385"/>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8" t="s">
        <v>498</v>
      </c>
      <c r="E85" s="439"/>
      <c r="F85" s="68"/>
      <c r="G85" s="383"/>
      <c r="H85" s="384"/>
      <c r="I85" s="384"/>
      <c r="J85" s="385"/>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31"/>
      <c r="H86" s="431"/>
      <c r="I86" s="431"/>
      <c r="J86" s="431"/>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81" t="s">
        <v>498</v>
      </c>
      <c r="E87" s="382"/>
      <c r="F87" s="68"/>
      <c r="G87" s="383"/>
      <c r="H87" s="384"/>
      <c r="I87" s="384"/>
      <c r="J87" s="385"/>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40"/>
      <c r="H88" s="440"/>
      <c r="I88" s="440"/>
      <c r="J88" s="440"/>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81" t="s">
        <v>14352</v>
      </c>
      <c r="E89" s="382"/>
      <c r="F89" s="68"/>
      <c r="G89" s="383"/>
      <c r="H89" s="384"/>
      <c r="I89" s="384"/>
      <c r="J89" s="385"/>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7" t="str">
        <f>IF(OR($D$8="",$I$3=""),"","Click here to check required fields completion")</f>
        <v/>
      </c>
      <c r="C90" s="437"/>
      <c r="D90" s="437"/>
      <c r="E90" s="437"/>
      <c r="F90" s="437"/>
      <c r="G90" s="437"/>
      <c r="H90" s="437"/>
      <c r="I90" s="437"/>
      <c r="J90" s="437"/>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5" t="str">
        <f ca="1">OFFSET(L!$C$1,MATCH("General"&amp;"Cpy",L!$A:$A,0)-1,SL,,)</f>
        <v>© 2020 Responsible Minerals Initiative. All rights reserved.</v>
      </c>
      <c r="B91" s="436"/>
      <c r="C91" s="436"/>
      <c r="D91" s="436"/>
      <c r="E91" s="436"/>
      <c r="F91" s="436"/>
      <c r="G91" s="436"/>
      <c r="H91" s="436"/>
      <c r="I91" s="436"/>
      <c r="J91" s="436"/>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4" stopIfTrue="1">
      <formula>AND(OR($D$26="No",AND($D$26="Yes",$D$32="No")),OR($D$27="No",AND($D$27="Yes",$D$33="No")),OR($D$28="No",AND($D$28="Yes",$D$34="No")),OR($D$29="No",AND($D$29="Yes",$D$35="No")))</formula>
    </cfRule>
    <cfRule type="expression" dxfId="100" priority="65" stopIfTrue="1">
      <formula>IF(D75="",TRUE)</formula>
    </cfRule>
  </conditionalFormatting>
  <conditionalFormatting sqref="D26:E26">
    <cfRule type="expression" dxfId="99" priority="116" stopIfTrue="1">
      <formula>IF($D$26="",TRUE)</formula>
    </cfRule>
  </conditionalFormatting>
  <conditionalFormatting sqref="D27:E27">
    <cfRule type="expression" dxfId="98" priority="123" stopIfTrue="1">
      <formula>IF($D$27="",TRUE)</formula>
    </cfRule>
  </conditionalFormatting>
  <conditionalFormatting sqref="D28:E28">
    <cfRule type="expression" dxfId="97" priority="124" stopIfTrue="1">
      <formula>IF($D$28="",TRUE)</formula>
    </cfRule>
  </conditionalFormatting>
  <conditionalFormatting sqref="D29:E29">
    <cfRule type="expression" dxfId="96" priority="125" stopIfTrue="1">
      <formula>IF($D$29="",TRUE)</formula>
    </cfRule>
  </conditionalFormatting>
  <conditionalFormatting sqref="D8:J8">
    <cfRule type="expression" dxfId="95" priority="130" stopIfTrue="1">
      <formula>IF($D$8="",TRUE)</formula>
    </cfRule>
  </conditionalFormatting>
  <conditionalFormatting sqref="D9:G9">
    <cfRule type="expression" dxfId="94" priority="131" stopIfTrue="1">
      <formula>IF($D$9="",TRUE)</formula>
    </cfRule>
  </conditionalFormatting>
  <conditionalFormatting sqref="D15:J15">
    <cfRule type="expression" dxfId="93" priority="132" stopIfTrue="1">
      <formula>IF($D$15="",TRUE)</formula>
    </cfRule>
  </conditionalFormatting>
  <conditionalFormatting sqref="D16:J16">
    <cfRule type="expression" dxfId="92" priority="133" stopIfTrue="1">
      <formula>IF($D$16="",TRUE)</formula>
    </cfRule>
  </conditionalFormatting>
  <conditionalFormatting sqref="D17:J17">
    <cfRule type="expression" dxfId="91" priority="134" stopIfTrue="1">
      <formula>IF($D$17="",TRUE)</formula>
    </cfRule>
  </conditionalFormatting>
  <conditionalFormatting sqref="D18:J18">
    <cfRule type="expression" dxfId="90" priority="135" stopIfTrue="1">
      <formula>IF($D$18="",TRUE)</formula>
    </cfRule>
  </conditionalFormatting>
  <conditionalFormatting sqref="D22:E22">
    <cfRule type="expression" dxfId="89" priority="138" stopIfTrue="1">
      <formula>IF($D$22="",TRUE)</formula>
    </cfRule>
  </conditionalFormatting>
  <conditionalFormatting sqref="D10:J10">
    <cfRule type="expression" dxfId="88" priority="35" stopIfTrue="1">
      <formula>IF($D$9=$Q$9,TRUE)</formula>
    </cfRule>
    <cfRule type="expression" dxfId="87" priority="145" stopIfTrue="1">
      <formula>IF(AND($D$10="",$D$9=$R$9),TRUE)</formula>
    </cfRule>
  </conditionalFormatting>
  <conditionalFormatting sqref="D34:E34 D40:E40 D52:E52 D58:E58 D64:E64 D70:E70">
    <cfRule type="expression" dxfId="86" priority="28" stopIfTrue="1">
      <formula>$P$28=""</formula>
    </cfRule>
  </conditionalFormatting>
  <conditionalFormatting sqref="D35:E35 D41:E41 D53:E53 D59:E59 D65:E65 D71:E71">
    <cfRule type="expression" dxfId="85" priority="143" stopIfTrue="1">
      <formula>$P$29=""</formula>
    </cfRule>
  </conditionalFormatting>
  <conditionalFormatting sqref="D32:E32">
    <cfRule type="expression" dxfId="84" priority="121" stopIfTrue="1">
      <formula>$P$26=""</formula>
    </cfRule>
  </conditionalFormatting>
  <conditionalFormatting sqref="D32:E32">
    <cfRule type="expression" dxfId="83" priority="34" stopIfTrue="1">
      <formula>IF(AND(OR($D$26="Yes",$D$26=""),$D$32=""),1,0)</formula>
    </cfRule>
  </conditionalFormatting>
  <conditionalFormatting sqref="D38 D50 D56 D62 D68">
    <cfRule type="expression" dxfId="82" priority="30" stopIfTrue="1">
      <formula>$P$32=""</formula>
    </cfRule>
  </conditionalFormatting>
  <conditionalFormatting sqref="D39:E39 D51 D57 D63 D69">
    <cfRule type="expression" dxfId="81" priority="29" stopIfTrue="1">
      <formula>$P$33=""</formula>
    </cfRule>
  </conditionalFormatting>
  <conditionalFormatting sqref="D40 D52 D58 D64 D70">
    <cfRule type="expression" dxfId="80" priority="19" stopIfTrue="1">
      <formula>$P$34=""</formula>
    </cfRule>
    <cfRule type="expression" dxfId="79" priority="141" stopIfTrue="1">
      <formula>IF(AND(OR($D$28="Yes",$D$28=""),D40=""),1,0)</formula>
    </cfRule>
  </conditionalFormatting>
  <conditionalFormatting sqref="D41 D53 D59 D65 D71">
    <cfRule type="expression" dxfId="78" priority="27" stopIfTrue="1">
      <formula>$P$35=""</formula>
    </cfRule>
  </conditionalFormatting>
  <conditionalFormatting sqref="D38:E38 D50:E50 D56:E56 D62:E62 D68:E68">
    <cfRule type="expression" dxfId="77" priority="32" stopIfTrue="1">
      <formula>$P$26=""</formula>
    </cfRule>
    <cfRule type="expression" dxfId="76" priority="33" stopIfTrue="1">
      <formula>IF(AND(OR($D$26="Yes",$D$26=""),D38=""),1,0)</formula>
    </cfRule>
  </conditionalFormatting>
  <conditionalFormatting sqref="G85:J85">
    <cfRule type="expression" dxfId="75" priority="26" stopIfTrue="1">
      <formula>IF(AND($D$85="Yes, using other format (describe)",$G$85=""),TRUE)</formula>
    </cfRule>
  </conditionalFormatting>
  <conditionalFormatting sqref="D39:E39 D51:E51 D57:E57 D63:E63 D69:E69">
    <cfRule type="expression" dxfId="74" priority="139" stopIfTrue="1">
      <formula>$P$39=""</formula>
    </cfRule>
    <cfRule type="expression" dxfId="73" priority="140" stopIfTrue="1">
      <formula>IF(AND(OR($D$27="Yes",$D$27=""),D39=""),1,0)</formula>
    </cfRule>
  </conditionalFormatting>
  <conditionalFormatting sqref="D33:E33">
    <cfRule type="expression" dxfId="72" priority="21" stopIfTrue="1">
      <formula>IF(AND(OR($D$27="Yes",$D$27=""),$D$33=""),1,0)</formula>
    </cfRule>
    <cfRule type="expression" dxfId="71" priority="22" stopIfTrue="1">
      <formula>$P$27=""</formula>
    </cfRule>
  </conditionalFormatting>
  <conditionalFormatting sqref="D34:E34">
    <cfRule type="expression" dxfId="70" priority="142" stopIfTrue="1">
      <formula>IF(AND(OR($D$28="Yes",$D$28=""),$D$34=""),1,0)</formula>
    </cfRule>
  </conditionalFormatting>
  <conditionalFormatting sqref="D41:E41 D53:E53 D59:E59 D65:E65 D71:E71">
    <cfRule type="expression" dxfId="69" priority="144" stopIfTrue="1">
      <formula>IF(AND(OR($D$29="Yes",$D$29=""),D41=""),1,0)</formula>
    </cfRule>
  </conditionalFormatting>
  <conditionalFormatting sqref="D35:E35">
    <cfRule type="expression" dxfId="68" priority="18" stopIfTrue="1">
      <formula>IF(AND(OR($D$29="Yes",$D$29=""),$D$35=""),1,0)</formula>
    </cfRule>
  </conditionalFormatting>
  <conditionalFormatting sqref="D20:J20">
    <cfRule type="expression" dxfId="67" priority="14" stopIfTrue="1">
      <formula>IF($D$20="",TRUE)</formula>
    </cfRule>
  </conditionalFormatting>
  <conditionalFormatting sqref="D46:E46">
    <cfRule type="expression" dxfId="66" priority="4" stopIfTrue="1">
      <formula>$P$28=""</formula>
    </cfRule>
  </conditionalFormatting>
  <conditionalFormatting sqref="D47:E47">
    <cfRule type="expression" dxfId="65" priority="12" stopIfTrue="1">
      <formula>$P$29=""</formula>
    </cfRule>
  </conditionalFormatting>
  <conditionalFormatting sqref="D44">
    <cfRule type="expression" dxfId="64" priority="6" stopIfTrue="1">
      <formula>$P$32=""</formula>
    </cfRule>
  </conditionalFormatting>
  <conditionalFormatting sqref="D45">
    <cfRule type="expression" dxfId="63" priority="5" stopIfTrue="1">
      <formula>$P$33=""</formula>
    </cfRule>
  </conditionalFormatting>
  <conditionalFormatting sqref="D46">
    <cfRule type="expression" dxfId="62" priority="2" stopIfTrue="1">
      <formula>$P$34=""</formula>
    </cfRule>
    <cfRule type="expression" dxfId="61" priority="11" stopIfTrue="1">
      <formula>IF(AND(OR($D$28="Yes",$D$28=""),D46=""),1,0)</formula>
    </cfRule>
  </conditionalFormatting>
  <conditionalFormatting sqref="D47">
    <cfRule type="expression" dxfId="60" priority="3" stopIfTrue="1">
      <formula>$P$35=""</formula>
    </cfRule>
  </conditionalFormatting>
  <conditionalFormatting sqref="D44:E44">
    <cfRule type="expression" dxfId="59" priority="7" stopIfTrue="1">
      <formula>$P$26=""</formula>
    </cfRule>
    <cfRule type="expression" dxfId="58" priority="8" stopIfTrue="1">
      <formula>IF(AND(OR($D$26="Yes",$D$26=""),D44=""),1,0)</formula>
    </cfRule>
  </conditionalFormatting>
  <conditionalFormatting sqref="D45:E45">
    <cfRule type="expression" dxfId="57" priority="9" stopIfTrue="1">
      <formula>$P$39=""</formula>
    </cfRule>
    <cfRule type="expression" dxfId="56" priority="10" stopIfTrue="1">
      <formula>IF(AND(OR($D$27="Yes",$D$27=""),D45=""),1,0)</formula>
    </cfRule>
  </conditionalFormatting>
  <conditionalFormatting sqref="D47:E47">
    <cfRule type="expression" dxfId="55" priority="13" stopIfTrue="1">
      <formula>IF(AND(OR($D$29="Yes",$D$29=""),D47=""),1,0)</formula>
    </cfRule>
  </conditionalFormatting>
  <conditionalFormatting sqref="G77:J77">
    <cfRule type="expression" dxfId="54" priority="1" stopIfTrue="1">
      <formula>IF(AND($D$77="Yes",$G$77=""),TRUE)</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 ref="D16" r:id="rId3" xr:uid="{C477F4AE-9E82-4FEB-9EC5-E32FB0F08882}"/>
    <hyperlink ref="D20" r:id="rId4" xr:uid="{8A916159-8D2A-482E-B922-71B114CADE19}"/>
    <hyperlink ref="G77:J77" r:id="rId5" display="https://akoustis.com/wp-content/uploads/2020/06/AKOUSTIS-TECHNOLOGIES-Conflict-Minerals-Statement.v2.pdf" xr:uid="{7C4BFE27-BBF9-48CB-9122-42A1AF5799D7}"/>
  </hyperlinks>
  <pageMargins left="0.70866141732283505" right="0.70866141732283505" top="0.74803149606299202" bottom="0.74803149606299202" header="0.31496062992126" footer="0.31496062992126"/>
  <pageSetup scale="41" fitToHeight="0" orientation="portrait" r:id="rId6"/>
  <rowBreaks count="1" manualBreakCount="1">
    <brk id="66" max="11" man="1"/>
  </rowBreaks>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F6" sqref="F6"/>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42" t="str">
        <f ca="1">OFFSET(L!$C$1,MATCH("Smelter List"&amp;ADDRESS(ROW(),COLUMN(),4),L!$A:$A,0)-1,SL,,)</f>
        <v>Link to "RMAP Conformant Smelter List"</v>
      </c>
      <c r="K2" s="443"/>
      <c r="L2" s="443"/>
      <c r="M2" s="443"/>
      <c r="N2" s="443"/>
      <c r="O2" s="443"/>
      <c r="P2" s="234"/>
      <c r="Q2" s="235"/>
      <c r="R2" s="236"/>
      <c r="S2" s="236"/>
      <c r="T2" s="236"/>
      <c r="U2" s="267"/>
      <c r="V2" s="267"/>
      <c r="W2" s="268"/>
      <c r="X2" s="267"/>
      <c r="Y2" s="267"/>
      <c r="Z2" s="267"/>
      <c r="AH2" s="176" t="s">
        <v>498</v>
      </c>
    </row>
    <row r="3" spans="1:34" s="269" customFormat="1" ht="243.95" customHeight="1">
      <c r="A3" s="204"/>
      <c r="B3" s="444"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4"/>
      <c r="D3" s="444"/>
      <c r="E3" s="444"/>
      <c r="F3" s="270"/>
      <c r="G3" s="445" t="str">
        <f ca="1">OFFSET(L!$C$1,MATCH("General"&amp;"Cpy",L!$A:$A,0)-1,SL,,)</f>
        <v>© 2020 Responsible Minerals Initiative. All rights reserved.</v>
      </c>
      <c r="H3" s="445"/>
      <c r="I3" s="446"/>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49" t="s">
        <v>787</v>
      </c>
      <c r="B5" s="217" t="str">
        <f ca="1">IF(LEN(A5)=0,"",INDEX('Smelter Look-up'!$A:$A,MATCH($A5,'Smelter Look-up'!$E:$E,0)))</f>
        <v>Tin</v>
      </c>
      <c r="C5" s="221" t="str">
        <f ca="1">IF(LEN(A5)=0,"",INDEX('Smelter Look-up'!$C:$C,MATCH($A5,'Smelter Look-up'!$E:$E,0)))</f>
        <v>Gejiu Non-Ferrous Metal Processing Co., Ltd.</v>
      </c>
      <c r="D5" s="283"/>
      <c r="E5" s="217" t="str">
        <f ca="1">IF(ISERROR($V5),"",OFFSET('Smelter Look-up'!$D$4,$V5-4,0)&amp;"")</f>
        <v>CHINA</v>
      </c>
      <c r="F5" s="217" t="str">
        <f ca="1">IF(ISERROR($V5),"",OFFSET('Smelter Look-up'!$E$4,$V5-4,0))</f>
        <v>CID000538</v>
      </c>
      <c r="G5" s="217" t="str">
        <f ca="1">IF(C5=$X$4,"Enter smelter details",IF(ISERROR($V5),"",OFFSET('Smelter Look-up'!$F$4,$V5-4,0)))</f>
        <v>RMI</v>
      </c>
      <c r="H5" s="218">
        <f ca="1">IF(ISERROR($V5),"",OFFSET('Smelter Look-up'!$G$4,$V5-4,0))</f>
        <v>0</v>
      </c>
      <c r="I5" s="219" t="str">
        <f ca="1">IF(ISERROR($V5),"",OFFSET('Smelter Look-up'!$H$4,$V5-4,0))</f>
        <v>Gejiu</v>
      </c>
      <c r="J5" s="219" t="str">
        <f ca="1">IF(ISERROR($V5),"",OFFSET('Smelter Look-up'!$I$4,$V5-4,0))</f>
        <v>Yunnan Sheng</v>
      </c>
      <c r="K5" s="273"/>
      <c r="L5" s="273"/>
      <c r="M5" s="273"/>
      <c r="N5" s="273"/>
      <c r="O5" s="273"/>
      <c r="P5" s="220"/>
      <c r="Q5" s="274"/>
      <c r="R5" s="217" t="str">
        <f ca="1">IF(ISERROR($V5),"",OFFSET('Smelter Look-up'!$C$4,$V5-4,0)&amp;"")</f>
        <v>Gejiu Non-Ferrous Metal Processing Co., Ltd.</v>
      </c>
      <c r="S5" s="225" t="str">
        <f t="shared" ref="S5" ca="1" si="0">IF(B5="","",IF(ISERROR(MATCH($E5,CL,0)),"Unknown",INDIRECT("'C'!$A$"&amp;MATCH($E5,CL,0)+1)))</f>
        <v>CN</v>
      </c>
      <c r="T5" s="225" t="str">
        <f ca="1">IF(B5="","",IF(ISERROR(MATCH($J5,SorP!$B$1:$B$6230,0)),"",INDIRECT("'SorP'!$A$"&amp;MATCH($J5,SorP!$B$1:$B$6230,0))))</f>
        <v>CN-YN</v>
      </c>
      <c r="U5" s="241"/>
      <c r="V5" s="275">
        <f ca="1">IF(C5="",NA(),MATCH($B5&amp;$C5,'Smelter Look-up'!$J:$J,0))</f>
        <v>389</v>
      </c>
      <c r="W5" s="276"/>
      <c r="X5" s="276">
        <f t="shared" ref="X5" ca="1" si="1">IF(AND(C5="Smelter not listed",OR(LEN(D5)=0,LEN(E5)=0)),1,0)</f>
        <v>0</v>
      </c>
      <c r="Y5" s="276"/>
      <c r="Z5" s="276"/>
      <c r="AB5" s="278" t="str">
        <f t="shared" ref="AB5" ca="1" si="2">B5&amp;C5</f>
        <v>TinGejiu Non-Ferrous Metal Processing Co., Ltd.</v>
      </c>
    </row>
    <row r="6" spans="1:34" s="277" customFormat="1" ht="20.100000000000001" customHeight="1">
      <c r="A6" s="350" t="s">
        <v>792</v>
      </c>
      <c r="B6" s="217" t="str">
        <f ca="1">IF(LEN(A6)=0,"",INDEX('Smelter Look-up'!$A:$A,MATCH($A6,'Smelter Look-up'!$E:$E,0)))</f>
        <v>Tin</v>
      </c>
      <c r="C6" s="221" t="str">
        <f ca="1">IF(LEN(A6)=0,"",INDEX('Smelter Look-up'!$C:$C,MATCH($A6,'Smelter Look-up'!$E:$E,0)))</f>
        <v>Malaysia Smelting Corporation (MSC)</v>
      </c>
      <c r="D6" s="283"/>
      <c r="E6" s="217" t="str">
        <f ca="1">IF(ISERROR($V6),"",OFFSET('Smelter Look-up'!$D$4,$V6-4,0)&amp;"")</f>
        <v>MALAYSIA</v>
      </c>
      <c r="F6" s="217" t="str">
        <f ca="1">IF(ISERROR($V6),"",OFFSET('Smelter Look-up'!$E$4,$V6-4,0))</f>
        <v>CID001105</v>
      </c>
      <c r="G6" s="217" t="str">
        <f ca="1">IF(C6=$X$4,"Enter smelter details",IF(ISERROR($V6),"",OFFSET('Smelter Look-up'!$F$4,$V6-4,0)))</f>
        <v>RMI</v>
      </c>
      <c r="H6" s="218">
        <f ca="1">IF(ISERROR($V6),"",OFFSET('Smelter Look-up'!$G$4,$V6-4,0))</f>
        <v>0</v>
      </c>
      <c r="I6" s="219" t="str">
        <f ca="1">IF(ISERROR($V6),"",OFFSET('Smelter Look-up'!$H$4,$V6-4,0))</f>
        <v>Butterworth</v>
      </c>
      <c r="J6" s="219" t="str">
        <f ca="1">IF(ISERROR($V6),"",OFFSET('Smelter Look-up'!$I$4,$V6-4,0))</f>
        <v>Pulau Pinang</v>
      </c>
      <c r="K6" s="273"/>
      <c r="L6" s="273"/>
      <c r="M6" s="273"/>
      <c r="N6" s="273"/>
      <c r="O6" s="273"/>
      <c r="P6" s="220"/>
      <c r="Q6" s="274"/>
      <c r="R6" s="217" t="str">
        <f ca="1">IF(ISERROR($V6),"",OFFSET('Smelter Look-up'!$C$4,$V6-4,0)&amp;"")</f>
        <v>Malaysia Smelting Corporation (MSC)</v>
      </c>
      <c r="S6" s="225" t="str">
        <f t="shared" ref="S6:S37" ca="1" si="3">IF(B6="","",IF(ISERROR(MATCH($E6,CL,0)),"Unknown",INDIRECT("'C'!$A$"&amp;MATCH($E6,CL,0)+1)))</f>
        <v>MY</v>
      </c>
      <c r="T6" s="225" t="str">
        <f ca="1">IF(B6="","",IF(ISERROR(MATCH($J6,SorP!$B$1:$B$6230,0)),"",INDIRECT("'SorP'!$A$"&amp;MATCH($J6,SorP!$B$1:$B$6230,0))))</f>
        <v>MY-07</v>
      </c>
      <c r="U6" s="241"/>
      <c r="V6" s="275">
        <f ca="1">IF(C6="",NA(),MATCH($B6&amp;$C6,'Smelter Look-up'!$J:$J,0))</f>
        <v>414</v>
      </c>
      <c r="W6" s="276"/>
      <c r="X6" s="276">
        <f t="shared" ref="X6:X37" ca="1" si="4">IF(AND(C6="Smelter not listed",OR(LEN(D6)=0,LEN(E6)=0)),1,0)</f>
        <v>0</v>
      </c>
      <c r="Y6" s="276"/>
      <c r="Z6" s="276"/>
      <c r="AB6" s="278" t="str">
        <f t="shared" ref="AB6:AB37" ca="1" si="5">B6&amp;C6</f>
        <v>TinMalaysia Smelting Corporation (MSC)</v>
      </c>
    </row>
    <row r="7" spans="1:34" s="277" customFormat="1" ht="20.100000000000001" customHeight="1">
      <c r="A7" s="350" t="s">
        <v>723</v>
      </c>
      <c r="B7" s="217" t="str">
        <f ca="1">IF(LEN(A7)=0,"",INDEX('Smelter Look-up'!$A:$A,MATCH($A7,'Smelter Look-up'!$E:$E,0)))</f>
        <v>Gold</v>
      </c>
      <c r="C7" s="221" t="str">
        <f ca="1">IF(LEN(A7)=0,"",INDEX('Smelter Look-up'!$C:$C,MATCH($A7,'Smelter Look-up'!$E:$E,0)))</f>
        <v>Metalor Technologies S.A.</v>
      </c>
      <c r="D7" s="283"/>
      <c r="E7" s="217" t="str">
        <f ca="1">IF(ISERROR($V7),"",OFFSET('Smelter Look-up'!$D$4,$V7-4,0)&amp;"")</f>
        <v>SWITZERLAND</v>
      </c>
      <c r="F7" s="217" t="str">
        <f ca="1">IF(ISERROR($V7),"",OFFSET('Smelter Look-up'!$E$4,$V7-4,0))</f>
        <v>CID001153</v>
      </c>
      <c r="G7" s="217" t="str">
        <f ca="1">IF(C7=$X$4,"Enter smelter details",IF(ISERROR($V7),"",OFFSET('Smelter Look-up'!$F$4,$V7-4,0)))</f>
        <v>RMI</v>
      </c>
      <c r="H7" s="218">
        <f ca="1">IF(ISERROR($V7),"",OFFSET('Smelter Look-up'!$G$4,$V7-4,0))</f>
        <v>0</v>
      </c>
      <c r="I7" s="219" t="str">
        <f ca="1">IF(ISERROR($V7),"",OFFSET('Smelter Look-up'!$H$4,$V7-4,0))</f>
        <v>Marin</v>
      </c>
      <c r="J7" s="219" t="str">
        <f ca="1">IF(ISERROR($V7),"",OFFSET('Smelter Look-up'!$I$4,$V7-4,0))</f>
        <v>Neuchâtel</v>
      </c>
      <c r="K7" s="273"/>
      <c r="L7" s="273"/>
      <c r="M7" s="273"/>
      <c r="N7" s="273"/>
      <c r="O7" s="273"/>
      <c r="P7" s="220"/>
      <c r="Q7" s="274"/>
      <c r="R7" s="217" t="str">
        <f ca="1">IF(ISERROR($V7),"",OFFSET('Smelter Look-up'!$C$4,$V7-4,0)&amp;"")</f>
        <v>Metalor Technologies S.A.</v>
      </c>
      <c r="S7" s="225" t="str">
        <f t="shared" ca="1" si="3"/>
        <v>CH</v>
      </c>
      <c r="T7" s="225" t="str">
        <f ca="1">IF(B7="","",IF(ISERROR(MATCH($J7,SorP!$B$1:$B$6230,0)),"",INDIRECT("'SorP'!$A$"&amp;MATCH($J7,SorP!$B$1:$B$6230,0))))</f>
        <v>CH-NE</v>
      </c>
      <c r="U7" s="241"/>
      <c r="V7" s="275">
        <f ca="1">IF(C7="",NA(),MATCH($B7&amp;$C7,'Smelter Look-up'!$J:$J,0))</f>
        <v>158</v>
      </c>
      <c r="W7" s="276"/>
      <c r="X7" s="276">
        <f t="shared" ca="1" si="4"/>
        <v>0</v>
      </c>
      <c r="Y7" s="276"/>
      <c r="Z7" s="276"/>
      <c r="AB7" s="278" t="str">
        <f t="shared" ca="1" si="5"/>
        <v>GoldMetalor Technologies S.A.</v>
      </c>
    </row>
    <row r="8" spans="1:34" s="277" customFormat="1" ht="20.100000000000001" customHeight="1">
      <c r="A8" s="350" t="s">
        <v>793</v>
      </c>
      <c r="B8" s="217" t="str">
        <f ca="1">IF(LEN(A8)=0,"",INDEX('Smelter Look-up'!$A:$A,MATCH($A8,'Smelter Look-up'!$E:$E,0)))</f>
        <v>Tin</v>
      </c>
      <c r="C8" s="221" t="str">
        <f ca="1">IF(LEN(A8)=0,"",INDEX('Smelter Look-up'!$C:$C,MATCH($A8,'Smelter Look-up'!$E:$E,0)))</f>
        <v>Mineracao Taboca S.A.</v>
      </c>
      <c r="D8" s="283"/>
      <c r="E8" s="217" t="str">
        <f ca="1">IF(ISERROR($V8),"",OFFSET('Smelter Look-up'!$D$4,$V8-4,0)&amp;"")</f>
        <v>BRAZIL</v>
      </c>
      <c r="F8" s="217" t="str">
        <f ca="1">IF(ISERROR($V8),"",OFFSET('Smelter Look-up'!$E$4,$V8-4,0))</f>
        <v>CID001173</v>
      </c>
      <c r="G8" s="217" t="str">
        <f ca="1">IF(C8=$X$4,"Enter smelter details",IF(ISERROR($V8),"",OFFSET('Smelter Look-up'!$F$4,$V8-4,0)))</f>
        <v>RMI</v>
      </c>
      <c r="H8" s="218">
        <f ca="1">IF(ISERROR($V8),"",OFFSET('Smelter Look-up'!$G$4,$V8-4,0))</f>
        <v>0</v>
      </c>
      <c r="I8" s="219" t="str">
        <f ca="1">IF(ISERROR($V8),"",OFFSET('Smelter Look-up'!$H$4,$V8-4,0))</f>
        <v>Bairro Guarapiranga</v>
      </c>
      <c r="J8" s="219" t="str">
        <f ca="1">IF(ISERROR($V8),"",OFFSET('Smelter Look-up'!$I$4,$V8-4,0))</f>
        <v>São Paulo</v>
      </c>
      <c r="K8" s="273"/>
      <c r="L8" s="273"/>
      <c r="M8" s="273"/>
      <c r="N8" s="273"/>
      <c r="O8" s="273"/>
      <c r="P8" s="220"/>
      <c r="Q8" s="274"/>
      <c r="R8" s="217" t="str">
        <f ca="1">IF(ISERROR($V8),"",OFFSET('Smelter Look-up'!$C$4,$V8-4,0)&amp;"")</f>
        <v>Mineracao Taboca S.A.</v>
      </c>
      <c r="S8" s="225" t="str">
        <f t="shared" ca="1" si="3"/>
        <v>BR</v>
      </c>
      <c r="T8" s="225" t="str">
        <f ca="1">IF(B8="","",IF(ISERROR(MATCH($J8,SorP!$B$1:$B$6230,0)),"",INDIRECT("'SorP'!$A$"&amp;MATCH($J8,SorP!$B$1:$B$6230,0))))</f>
        <v>BR-SP</v>
      </c>
      <c r="U8" s="241"/>
      <c r="V8" s="275">
        <f ca="1">IF(C8="",NA(),MATCH($B8&amp;$C8,'Smelter Look-up'!$J:$J,0))</f>
        <v>421</v>
      </c>
      <c r="W8" s="276"/>
      <c r="X8" s="276">
        <f t="shared" ca="1" si="4"/>
        <v>0</v>
      </c>
      <c r="Y8" s="276"/>
      <c r="Z8" s="276"/>
      <c r="AB8" s="278" t="str">
        <f t="shared" ca="1" si="5"/>
        <v>TinMineracao Taboca S.A.</v>
      </c>
    </row>
    <row r="9" spans="1:34" s="277" customFormat="1" ht="20.100000000000001" customHeight="1">
      <c r="A9" s="350" t="s">
        <v>794</v>
      </c>
      <c r="B9" s="217" t="str">
        <f ca="1">IF(LEN(A9)=0,"",INDEX('Smelter Look-up'!$A:$A,MATCH($A9,'Smelter Look-up'!$E:$E,0)))</f>
        <v>Tin</v>
      </c>
      <c r="C9" s="221" t="str">
        <f ca="1">IF(LEN(A9)=0,"",INDEX('Smelter Look-up'!$C:$C,MATCH($A9,'Smelter Look-up'!$E:$E,0)))</f>
        <v>Minsur</v>
      </c>
      <c r="D9" s="283"/>
      <c r="E9" s="217" t="str">
        <f ca="1">IF(ISERROR($V9),"",OFFSET('Smelter Look-up'!$D$4,$V9-4,0)&amp;"")</f>
        <v>PERU</v>
      </c>
      <c r="F9" s="217" t="str">
        <f ca="1">IF(ISERROR($V9),"",OFFSET('Smelter Look-up'!$E$4,$V9-4,0))</f>
        <v>CID001182</v>
      </c>
      <c r="G9" s="217" t="str">
        <f ca="1">IF(C9=$X$4,"Enter smelter details",IF(ISERROR($V9),"",OFFSET('Smelter Look-up'!$F$4,$V9-4,0)))</f>
        <v>RMI</v>
      </c>
      <c r="H9" s="218">
        <f ca="1">IF(ISERROR($V9),"",OFFSET('Smelter Look-up'!$G$4,$V9-4,0))</f>
        <v>0</v>
      </c>
      <c r="I9" s="219" t="str">
        <f ca="1">IF(ISERROR($V9),"",OFFSET('Smelter Look-up'!$H$4,$V9-4,0))</f>
        <v>Paracas</v>
      </c>
      <c r="J9" s="219" t="str">
        <f ca="1">IF(ISERROR($V9),"",OFFSET('Smelter Look-up'!$I$4,$V9-4,0))</f>
        <v>Ika</v>
      </c>
      <c r="K9" s="273"/>
      <c r="L9" s="273"/>
      <c r="M9" s="273"/>
      <c r="N9" s="273"/>
      <c r="O9" s="273"/>
      <c r="P9" s="220"/>
      <c r="Q9" s="274"/>
      <c r="R9" s="217" t="str">
        <f ca="1">IF(ISERROR($V9),"",OFFSET('Smelter Look-up'!$C$4,$V9-4,0)&amp;"")</f>
        <v>Minsur</v>
      </c>
      <c r="S9" s="225" t="str">
        <f t="shared" ca="1" si="3"/>
        <v>PE</v>
      </c>
      <c r="T9" s="225" t="str">
        <f ca="1">IF(B9="","",IF(ISERROR(MATCH($J9,SorP!$B$1:$B$6230,0)),"",INDIRECT("'SorP'!$A$"&amp;MATCH($J9,SorP!$B$1:$B$6230,0))))</f>
        <v>PE-ICA</v>
      </c>
      <c r="U9" s="241"/>
      <c r="V9" s="275">
        <f ca="1">IF(C9="",NA(),MATCH($B9&amp;$C9,'Smelter Look-up'!$J:$J,0))</f>
        <v>424</v>
      </c>
      <c r="W9" s="276"/>
      <c r="X9" s="276">
        <f t="shared" ca="1" si="4"/>
        <v>0</v>
      </c>
      <c r="Y9" s="276"/>
      <c r="Z9" s="276"/>
      <c r="AB9" s="278" t="str">
        <f t="shared" ca="1" si="5"/>
        <v>TinMinsur</v>
      </c>
    </row>
    <row r="10" spans="1:34" s="277" customFormat="1" ht="20.100000000000001" customHeight="1">
      <c r="A10" s="350" t="s">
        <v>795</v>
      </c>
      <c r="B10" s="217" t="str">
        <f ca="1">IF(LEN(A10)=0,"",INDEX('Smelter Look-up'!$A:$A,MATCH($A10,'Smelter Look-up'!$E:$E,0)))</f>
        <v>Tin</v>
      </c>
      <c r="C10" s="221" t="str">
        <f ca="1">IF(LEN(A10)=0,"",INDEX('Smelter Look-up'!$C:$C,MATCH($A10,'Smelter Look-up'!$E:$E,0)))</f>
        <v>Mitsubishi Materials Corporation</v>
      </c>
      <c r="D10" s="283"/>
      <c r="E10" s="217" t="str">
        <f ca="1">IF(ISERROR($V10),"",OFFSET('Smelter Look-up'!$D$4,$V10-4,0)&amp;"")</f>
        <v>JAPAN</v>
      </c>
      <c r="F10" s="217" t="str">
        <f ca="1">IF(ISERROR($V10),"",OFFSET('Smelter Look-up'!$E$4,$V10-4,0))</f>
        <v>CID001191</v>
      </c>
      <c r="G10" s="217" t="str">
        <f ca="1">IF(C10=$X$4,"Enter smelter details",IF(ISERROR($V10),"",OFFSET('Smelter Look-up'!$F$4,$V10-4,0)))</f>
        <v>RMI</v>
      </c>
      <c r="H10" s="218">
        <f ca="1">IF(ISERROR($V10),"",OFFSET('Smelter Look-up'!$G$4,$V10-4,0))</f>
        <v>0</v>
      </c>
      <c r="I10" s="219" t="str">
        <f ca="1">IF(ISERROR($V10),"",OFFSET('Smelter Look-up'!$H$4,$V10-4,0))</f>
        <v>Asago</v>
      </c>
      <c r="J10" s="219" t="str">
        <f ca="1">IF(ISERROR($V10),"",OFFSET('Smelter Look-up'!$I$4,$V10-4,0))</f>
        <v>Hyogo</v>
      </c>
      <c r="K10" s="273"/>
      <c r="L10" s="273"/>
      <c r="M10" s="273"/>
      <c r="N10" s="273"/>
      <c r="O10" s="273"/>
      <c r="P10" s="220"/>
      <c r="Q10" s="274"/>
      <c r="R10" s="217" t="str">
        <f ca="1">IF(ISERROR($V10),"",OFFSET('Smelter Look-up'!$C$4,$V10-4,0)&amp;"")</f>
        <v>Mitsubishi Materials Corporation</v>
      </c>
      <c r="S10" s="225" t="str">
        <f t="shared" ca="1" si="3"/>
        <v>JP</v>
      </c>
      <c r="T10" s="225" t="str">
        <f ca="1">IF(B10="","",IF(ISERROR(MATCH($J10,SorP!$B$1:$B$6230,0)),"",INDIRECT("'SorP'!$A$"&amp;MATCH($J10,SorP!$B$1:$B$6230,0))))</f>
        <v>JP-28</v>
      </c>
      <c r="U10" s="241"/>
      <c r="V10" s="275">
        <f ca="1">IF(C10="",NA(),MATCH($B10&amp;$C10,'Smelter Look-up'!$J:$J,0))</f>
        <v>425</v>
      </c>
      <c r="W10" s="276"/>
      <c r="X10" s="276">
        <f t="shared" ca="1" si="4"/>
        <v>0</v>
      </c>
      <c r="Y10" s="276"/>
      <c r="Z10" s="276"/>
      <c r="AB10" s="278" t="str">
        <f t="shared" ca="1" si="5"/>
        <v>TinMitsubishi Materials Corporation</v>
      </c>
    </row>
    <row r="11" spans="1:34" s="277" customFormat="1" ht="20.100000000000001" customHeight="1">
      <c r="A11" s="350" t="s">
        <v>798</v>
      </c>
      <c r="B11" s="217" t="str">
        <f ca="1">IF(LEN(A11)=0,"",INDEX('Smelter Look-up'!$A:$A,MATCH($A11,'Smelter Look-up'!$E:$E,0)))</f>
        <v>Tin</v>
      </c>
      <c r="C11" s="221" t="str">
        <f ca="1">IF(LEN(A11)=0,"",INDEX('Smelter Look-up'!$C:$C,MATCH($A11,'Smelter Look-up'!$E:$E,0)))</f>
        <v>Operaciones Metalurgicas S.A.</v>
      </c>
      <c r="D11" s="283"/>
      <c r="E11" s="217" t="str">
        <f ca="1">IF(ISERROR($V11),"",OFFSET('Smelter Look-up'!$D$4,$V11-4,0)&amp;"")</f>
        <v>BOLIVIA (PLURINATIONAL STATE OF)</v>
      </c>
      <c r="F11" s="217" t="str">
        <f ca="1">IF(ISERROR($V11),"",OFFSET('Smelter Look-up'!$E$4,$V11-4,0))</f>
        <v>CID001337</v>
      </c>
      <c r="G11" s="217" t="str">
        <f ca="1">IF(C11=$X$4,"Enter smelter details",IF(ISERROR($V11),"",OFFSET('Smelter Look-up'!$F$4,$V11-4,0)))</f>
        <v>RMI</v>
      </c>
      <c r="H11" s="218">
        <f ca="1">IF(ISERROR($V11),"",OFFSET('Smelter Look-up'!$G$4,$V11-4,0))</f>
        <v>0</v>
      </c>
      <c r="I11" s="219" t="str">
        <f ca="1">IF(ISERROR($V11),"",OFFSET('Smelter Look-up'!$H$4,$V11-4,0))</f>
        <v>Oruro</v>
      </c>
      <c r="J11" s="219" t="str">
        <f ca="1">IF(ISERROR($V11),"",OFFSET('Smelter Look-up'!$I$4,$V11-4,0))</f>
        <v>Oruro</v>
      </c>
      <c r="K11" s="273"/>
      <c r="L11" s="273"/>
      <c r="M11" s="273"/>
      <c r="N11" s="273"/>
      <c r="O11" s="273"/>
      <c r="P11" s="220"/>
      <c r="Q11" s="274"/>
      <c r="R11" s="217" t="str">
        <f ca="1">IF(ISERROR($V11),"",OFFSET('Smelter Look-up'!$C$4,$V11-4,0)&amp;"")</f>
        <v>Operaciones Metalurgicas S.A.</v>
      </c>
      <c r="S11" s="225" t="str">
        <f t="shared" ca="1" si="3"/>
        <v>BO</v>
      </c>
      <c r="T11" s="225" t="str">
        <f ca="1">IF(B11="","",IF(ISERROR(MATCH($J11,SorP!$B$1:$B$6230,0)),"",INDIRECT("'SorP'!$A$"&amp;MATCH($J11,SorP!$B$1:$B$6230,0))))</f>
        <v>BO-O</v>
      </c>
      <c r="U11" s="241"/>
      <c r="V11" s="275">
        <f ca="1">IF(C11="",NA(),MATCH($B11&amp;$C11,'Smelter Look-up'!$J:$J,0))</f>
        <v>434</v>
      </c>
      <c r="W11" s="276"/>
      <c r="X11" s="276">
        <f t="shared" ca="1" si="4"/>
        <v>0</v>
      </c>
      <c r="Y11" s="276"/>
      <c r="Z11" s="276"/>
      <c r="AB11" s="278" t="str">
        <f t="shared" ca="1" si="5"/>
        <v>TinOperaciones Metalurgicas S.A.</v>
      </c>
    </row>
    <row r="12" spans="1:34" s="277" customFormat="1" ht="20.100000000000001" customHeight="1">
      <c r="A12" s="350" t="s">
        <v>801</v>
      </c>
      <c r="B12" s="217" t="str">
        <f ca="1">IF(LEN(A12)=0,"",INDEX('Smelter Look-up'!$A:$A,MATCH($A12,'Smelter Look-up'!$E:$E,0)))</f>
        <v>Tin</v>
      </c>
      <c r="C12" s="221" t="str">
        <f ca="1">IF(LEN(A12)=0,"",INDEX('Smelter Look-up'!$C:$C,MATCH($A12,'Smelter Look-up'!$E:$E,0)))</f>
        <v>PT Refined Bangka Tin</v>
      </c>
      <c r="D12" s="283"/>
      <c r="E12" s="217" t="str">
        <f ca="1">IF(ISERROR($V12),"",OFFSET('Smelter Look-up'!$D$4,$V12-4,0)&amp;"")</f>
        <v>INDONESIA</v>
      </c>
      <c r="F12" s="217" t="str">
        <f ca="1">IF(ISERROR($V12),"",OFFSET('Smelter Look-up'!$E$4,$V12-4,0))</f>
        <v>CID001460</v>
      </c>
      <c r="G12" s="217" t="str">
        <f ca="1">IF(C12=$X$4,"Enter smelter details",IF(ISERROR($V12),"",OFFSET('Smelter Look-up'!$F$4,$V12-4,0)))</f>
        <v>RMI</v>
      </c>
      <c r="H12" s="218">
        <f ca="1">IF(ISERROR($V12),"",OFFSET('Smelter Look-up'!$G$4,$V12-4,0))</f>
        <v>0</v>
      </c>
      <c r="I12" s="219" t="str">
        <f ca="1">IF(ISERROR($V12),"",OFFSET('Smelter Look-up'!$H$4,$V12-4,0))</f>
        <v>Sungailiat</v>
      </c>
      <c r="J12" s="219" t="str">
        <f ca="1">IF(ISERROR($V12),"",OFFSET('Smelter Look-up'!$I$4,$V12-4,0))</f>
        <v>Kepulauan Bangka Belitung</v>
      </c>
      <c r="K12" s="273"/>
      <c r="L12" s="273"/>
      <c r="M12" s="273"/>
      <c r="N12" s="273"/>
      <c r="O12" s="273"/>
      <c r="P12" s="220"/>
      <c r="Q12" s="274"/>
      <c r="R12" s="217" t="str">
        <f ca="1">IF(ISERROR($V12),"",OFFSET('Smelter Look-up'!$C$4,$V12-4,0)&amp;"")</f>
        <v>PT Refined Bangka Tin</v>
      </c>
      <c r="S12" s="225" t="str">
        <f t="shared" ca="1" si="3"/>
        <v>ID</v>
      </c>
      <c r="T12" s="225" t="str">
        <f ca="1">IF(B12="","",IF(ISERROR(MATCH($J12,SorP!$B$1:$B$6230,0)),"",INDIRECT("'SorP'!$A$"&amp;MATCH($J12,SorP!$B$1:$B$6230,0))))</f>
        <v>ID-BB</v>
      </c>
      <c r="U12" s="241"/>
      <c r="V12" s="275">
        <f ca="1">IF(C12="",NA(),MATCH($B12&amp;$C12,'Smelter Look-up'!$J:$J,0))</f>
        <v>443</v>
      </c>
      <c r="W12" s="276"/>
      <c r="X12" s="276">
        <f t="shared" ca="1" si="4"/>
        <v>0</v>
      </c>
      <c r="Y12" s="276"/>
      <c r="Z12" s="276"/>
      <c r="AB12" s="278" t="str">
        <f t="shared" ca="1" si="5"/>
        <v>TinPT Refined Bangka Tin</v>
      </c>
    </row>
    <row r="13" spans="1:34" s="277" customFormat="1" ht="20.100000000000001" customHeight="1">
      <c r="A13" s="350" t="s">
        <v>824</v>
      </c>
      <c r="B13" s="217" t="str">
        <f ca="1">IF(LEN(A13)=0,"",INDEX('Smelter Look-up'!$A:$A,MATCH($A13,'Smelter Look-up'!$E:$E,0)))</f>
        <v>Tin</v>
      </c>
      <c r="C13" s="221" t="str">
        <f ca="1">IF(LEN(A13)=0,"",INDEX('Smelter Look-up'!$C:$C,MATCH($A13,'Smelter Look-up'!$E:$E,0)))</f>
        <v>PT Timah Tbk Kundur</v>
      </c>
      <c r="D13" s="283"/>
      <c r="E13" s="217" t="str">
        <f ca="1">IF(ISERROR($V13),"",OFFSET('Smelter Look-up'!$D$4,$V13-4,0)&amp;"")</f>
        <v>INDONESIA</v>
      </c>
      <c r="F13" s="217" t="str">
        <f ca="1">IF(ISERROR($V13),"",OFFSET('Smelter Look-up'!$E$4,$V13-4,0))</f>
        <v>CID001477</v>
      </c>
      <c r="G13" s="217" t="str">
        <f ca="1">IF(C13=$X$4,"Enter smelter details",IF(ISERROR($V13),"",OFFSET('Smelter Look-up'!$F$4,$V13-4,0)))</f>
        <v>RMI</v>
      </c>
      <c r="H13" s="218">
        <f ca="1">IF(ISERROR($V13),"",OFFSET('Smelter Look-up'!$G$4,$V13-4,0))</f>
        <v>0</v>
      </c>
      <c r="I13" s="219" t="str">
        <f ca="1">IF(ISERROR($V13),"",OFFSET('Smelter Look-up'!$H$4,$V13-4,0))</f>
        <v>Kundur</v>
      </c>
      <c r="J13" s="219" t="str">
        <f ca="1">IF(ISERROR($V13),"",OFFSET('Smelter Look-up'!$I$4,$V13-4,0))</f>
        <v>Riau</v>
      </c>
      <c r="K13" s="273"/>
      <c r="L13" s="273"/>
      <c r="M13" s="273"/>
      <c r="N13" s="273"/>
      <c r="O13" s="273"/>
      <c r="P13" s="220"/>
      <c r="Q13" s="274"/>
      <c r="R13" s="217" t="str">
        <f ca="1">IF(ISERROR($V13),"",OFFSET('Smelter Look-up'!$C$4,$V13-4,0)&amp;"")</f>
        <v>PT Timah Tbk Kundur</v>
      </c>
      <c r="S13" s="225" t="str">
        <f t="shared" ca="1" si="3"/>
        <v>ID</v>
      </c>
      <c r="T13" s="225" t="str">
        <f ca="1">IF(B13="","",IF(ISERROR(MATCH($J13,SorP!$B$1:$B$6230,0)),"",INDIRECT("'SorP'!$A$"&amp;MATCH($J13,SorP!$B$1:$B$6230,0))))</f>
        <v>ID-RI</v>
      </c>
      <c r="U13" s="241"/>
      <c r="V13" s="275">
        <f ca="1">IF(C13="",NA(),MATCH($B13&amp;$C13,'Smelter Look-up'!$J:$J,0))</f>
        <v>445</v>
      </c>
      <c r="W13" s="276"/>
      <c r="X13" s="276">
        <f t="shared" ca="1" si="4"/>
        <v>0</v>
      </c>
      <c r="Y13" s="276"/>
      <c r="Z13" s="276"/>
      <c r="AB13" s="278" t="str">
        <f t="shared" ca="1" si="5"/>
        <v>TinPT Timah Tbk Kundur</v>
      </c>
    </row>
    <row r="14" spans="1:34" s="277" customFormat="1" ht="20.100000000000001" customHeight="1">
      <c r="A14" s="350" t="s">
        <v>802</v>
      </c>
      <c r="B14" s="217" t="str">
        <f ca="1">IF(LEN(A14)=0,"",INDEX('Smelter Look-up'!$A:$A,MATCH($A14,'Smelter Look-up'!$E:$E,0)))</f>
        <v>Tin</v>
      </c>
      <c r="C14" s="221" t="str">
        <f ca="1">IF(LEN(A14)=0,"",INDEX('Smelter Look-up'!$C:$C,MATCH($A14,'Smelter Look-up'!$E:$E,0)))</f>
        <v>PT Timah Tbk Mentok</v>
      </c>
      <c r="D14" s="283"/>
      <c r="E14" s="217" t="str">
        <f ca="1">IF(ISERROR($V14),"",OFFSET('Smelter Look-up'!$D$4,$V14-4,0)&amp;"")</f>
        <v>INDONESIA</v>
      </c>
      <c r="F14" s="217" t="str">
        <f ca="1">IF(ISERROR($V14),"",OFFSET('Smelter Look-up'!$E$4,$V14-4,0))</f>
        <v>CID001482</v>
      </c>
      <c r="G14" s="217" t="str">
        <f ca="1">IF(C14=$X$4,"Enter smelter details",IF(ISERROR($V14),"",OFFSET('Smelter Look-up'!$F$4,$V14-4,0)))</f>
        <v>RMI</v>
      </c>
      <c r="H14" s="218">
        <f ca="1">IF(ISERROR($V14),"",OFFSET('Smelter Look-up'!$G$4,$V14-4,0))</f>
        <v>0</v>
      </c>
      <c r="I14" s="219" t="str">
        <f ca="1">IF(ISERROR($V14),"",OFFSET('Smelter Look-up'!$H$4,$V14-4,0))</f>
        <v>Mentok</v>
      </c>
      <c r="J14" s="219" t="str">
        <f ca="1">IF(ISERROR($V14),"",OFFSET('Smelter Look-up'!$I$4,$V14-4,0))</f>
        <v>Kepulauan Bangka Belitung</v>
      </c>
      <c r="K14" s="273"/>
      <c r="L14" s="273"/>
      <c r="M14" s="273"/>
      <c r="N14" s="273"/>
      <c r="O14" s="273"/>
      <c r="P14" s="220"/>
      <c r="Q14" s="274"/>
      <c r="R14" s="217" t="str">
        <f ca="1">IF(ISERROR($V14),"",OFFSET('Smelter Look-up'!$C$4,$V14-4,0)&amp;"")</f>
        <v>PT Timah Tbk Mentok</v>
      </c>
      <c r="S14" s="225" t="str">
        <f t="shared" ca="1" si="3"/>
        <v>ID</v>
      </c>
      <c r="T14" s="225" t="str">
        <f ca="1">IF(B14="","",IF(ISERROR(MATCH($J14,SorP!$B$1:$B$6230,0)),"",INDIRECT("'SorP'!$A$"&amp;MATCH($J14,SorP!$B$1:$B$6230,0))))</f>
        <v>ID-BB</v>
      </c>
      <c r="U14" s="241"/>
      <c r="V14" s="275">
        <f ca="1">IF(C14="",NA(),MATCH($B14&amp;$C14,'Smelter Look-up'!$J:$J,0))</f>
        <v>446</v>
      </c>
      <c r="W14" s="276"/>
      <c r="X14" s="276">
        <f t="shared" ca="1" si="4"/>
        <v>0</v>
      </c>
      <c r="Y14" s="276"/>
      <c r="Z14" s="276"/>
      <c r="AB14" s="278" t="str">
        <f t="shared" ca="1" si="5"/>
        <v>TinPT Timah Tbk Mentok</v>
      </c>
    </row>
    <row r="15" spans="1:34" s="277" customFormat="1" ht="20.100000000000001" customHeight="1">
      <c r="A15" s="350" t="s">
        <v>748</v>
      </c>
      <c r="B15" s="217" t="str">
        <f ca="1">IF(LEN(A15)=0,"",INDEX('Smelter Look-up'!$A:$A,MATCH($A15,'Smelter Look-up'!$E:$E,0)))</f>
        <v>Gold</v>
      </c>
      <c r="C15" s="221" t="str">
        <f ca="1">IF(LEN(A15)=0,"",INDEX('Smelter Look-up'!$C:$C,MATCH($A15,'Smelter Look-up'!$E:$E,0)))</f>
        <v>Tanaka Kikinzoku Kogyo K.K.</v>
      </c>
      <c r="D15" s="283"/>
      <c r="E15" s="217" t="str">
        <f ca="1">IF(ISERROR($V15),"",OFFSET('Smelter Look-up'!$D$4,$V15-4,0)&amp;"")</f>
        <v>JAPAN</v>
      </c>
      <c r="F15" s="217" t="str">
        <f ca="1">IF(ISERROR($V15),"",OFFSET('Smelter Look-up'!$E$4,$V15-4,0))</f>
        <v>CID001875</v>
      </c>
      <c r="G15" s="217" t="str">
        <f ca="1">IF(C15=$X$4,"Enter smelter details",IF(ISERROR($V15),"",OFFSET('Smelter Look-up'!$F$4,$V15-4,0)))</f>
        <v>RMI</v>
      </c>
      <c r="H15" s="218">
        <f ca="1">IF(ISERROR($V15),"",OFFSET('Smelter Look-up'!$G$4,$V15-4,0))</f>
        <v>0</v>
      </c>
      <c r="I15" s="219" t="str">
        <f ca="1">IF(ISERROR($V15),"",OFFSET('Smelter Look-up'!$H$4,$V15-4,0))</f>
        <v>Hiratsuka</v>
      </c>
      <c r="J15" s="219" t="str">
        <f ca="1">IF(ISERROR($V15),"",OFFSET('Smelter Look-up'!$I$4,$V15-4,0))</f>
        <v>Kanagawa</v>
      </c>
      <c r="K15" s="273"/>
      <c r="L15" s="273"/>
      <c r="M15" s="273"/>
      <c r="N15" s="273"/>
      <c r="O15" s="273"/>
      <c r="P15" s="220"/>
      <c r="Q15" s="274"/>
      <c r="R15" s="217" t="str">
        <f ca="1">IF(ISERROR($V15),"",OFFSET('Smelter Look-up'!$C$4,$V15-4,0)&amp;"")</f>
        <v>Tanaka Kikinzoku Kogyo K.K.</v>
      </c>
      <c r="S15" s="225" t="str">
        <f t="shared" ca="1" si="3"/>
        <v>JP</v>
      </c>
      <c r="T15" s="225" t="str">
        <f ca="1">IF(B15="","",IF(ISERROR(MATCH($J15,SorP!$B$1:$B$6230,0)),"",INDIRECT("'SorP'!$A$"&amp;MATCH($J15,SorP!$B$1:$B$6230,0))))</f>
        <v>JP-14</v>
      </c>
      <c r="U15" s="241"/>
      <c r="V15" s="275">
        <f ca="1">IF(C15="",NA(),MATCH($B15&amp;$C15,'Smelter Look-up'!$J:$J,0))</f>
        <v>252</v>
      </c>
      <c r="W15" s="276"/>
      <c r="X15" s="276">
        <f t="shared" ca="1" si="4"/>
        <v>0</v>
      </c>
      <c r="Y15" s="276"/>
      <c r="Z15" s="276"/>
      <c r="AB15" s="278" t="str">
        <f t="shared" ca="1" si="5"/>
        <v>GoldTanaka Kikinzoku Kogyo K.K.</v>
      </c>
    </row>
    <row r="16" spans="1:34" s="277" customFormat="1" ht="20.100000000000001" customHeight="1">
      <c r="A16" s="350" t="s">
        <v>806</v>
      </c>
      <c r="B16" s="217" t="str">
        <f ca="1">IF(LEN(A16)=0,"",INDEX('Smelter Look-up'!$A:$A,MATCH($A16,'Smelter Look-up'!$E:$E,0)))</f>
        <v>Tin</v>
      </c>
      <c r="C16" s="221" t="str">
        <f ca="1">IF(LEN(A16)=0,"",INDEX('Smelter Look-up'!$C:$C,MATCH($A16,'Smelter Look-up'!$E:$E,0)))</f>
        <v>Thaisarco</v>
      </c>
      <c r="D16" s="283"/>
      <c r="E16" s="217" t="str">
        <f ca="1">IF(ISERROR($V16),"",OFFSET('Smelter Look-up'!$D$4,$V16-4,0)&amp;"")</f>
        <v>THAILAND</v>
      </c>
      <c r="F16" s="217" t="str">
        <f ca="1">IF(ISERROR($V16),"",OFFSET('Smelter Look-up'!$E$4,$V16-4,0))</f>
        <v>CID001898</v>
      </c>
      <c r="G16" s="217" t="str">
        <f ca="1">IF(C16=$X$4,"Enter smelter details",IF(ISERROR($V16),"",OFFSET('Smelter Look-up'!$F$4,$V16-4,0)))</f>
        <v>RMI</v>
      </c>
      <c r="H16" s="218">
        <f ca="1">IF(ISERROR($V16),"",OFFSET('Smelter Look-up'!$G$4,$V16-4,0))</f>
        <v>0</v>
      </c>
      <c r="I16" s="219" t="str">
        <f ca="1">IF(ISERROR($V16),"",OFFSET('Smelter Look-up'!$H$4,$V16-4,0))</f>
        <v>Amphur Muang</v>
      </c>
      <c r="J16" s="219" t="str">
        <f ca="1">IF(ISERROR($V16),"",OFFSET('Smelter Look-up'!$I$4,$V16-4,0))</f>
        <v>Phuket</v>
      </c>
      <c r="K16" s="273"/>
      <c r="L16" s="273"/>
      <c r="M16" s="273"/>
      <c r="N16" s="273"/>
      <c r="O16" s="273"/>
      <c r="P16" s="220"/>
      <c r="Q16" s="274"/>
      <c r="R16" s="217" t="str">
        <f ca="1">IF(ISERROR($V16),"",OFFSET('Smelter Look-up'!$C$4,$V16-4,0)&amp;"")</f>
        <v>Thaisarco</v>
      </c>
      <c r="S16" s="225" t="str">
        <f t="shared" ca="1" si="3"/>
        <v>TH</v>
      </c>
      <c r="T16" s="225" t="str">
        <f ca="1">IF(B16="","",IF(ISERROR(MATCH($J16,SorP!$B$1:$B$6230,0)),"",INDIRECT("'SorP'!$A$"&amp;MATCH($J16,SorP!$B$1:$B$6230,0))))</f>
        <v>TH-83</v>
      </c>
      <c r="U16" s="241"/>
      <c r="V16" s="275">
        <f ca="1">IF(C16="",NA(),MATCH($B16&amp;$C16,'Smelter Look-up'!$J:$J,0))</f>
        <v>458</v>
      </c>
      <c r="W16" s="276"/>
      <c r="X16" s="276">
        <f t="shared" ca="1" si="4"/>
        <v>0</v>
      </c>
      <c r="Y16" s="276"/>
      <c r="Z16" s="276"/>
      <c r="AB16" s="278" t="str">
        <f t="shared" ca="1" si="5"/>
        <v>TinThaisarco</v>
      </c>
    </row>
    <row r="17" spans="1:28" s="277" customFormat="1" ht="20.100000000000001" customHeight="1">
      <c r="A17" s="350" t="s">
        <v>1856</v>
      </c>
      <c r="B17" s="217" t="str">
        <f ca="1">IF(LEN(A17)=0,"",INDEX('Smelter Look-up'!$A:$A,MATCH($A17,'Smelter Look-up'!$E:$E,0)))</f>
        <v>Tin</v>
      </c>
      <c r="C17" s="221" t="str">
        <f ca="1">IF(LEN(A17)=0,"",INDEX('Smelter Look-up'!$C:$C,MATCH($A17,'Smelter Look-up'!$E:$E,0)))</f>
        <v>Metallo Belgium N.V.</v>
      </c>
      <c r="D17" s="283"/>
      <c r="E17" s="217" t="str">
        <f ca="1">IF(ISERROR($V17),"",OFFSET('Smelter Look-up'!$D$4,$V17-4,0)&amp;"")</f>
        <v>BELGIUM</v>
      </c>
      <c r="F17" s="217" t="str">
        <f ca="1">IF(ISERROR($V17),"",OFFSET('Smelter Look-up'!$E$4,$V17-4,0))</f>
        <v>CID002773</v>
      </c>
      <c r="G17" s="217" t="str">
        <f ca="1">IF(C17=$X$4,"Enter smelter details",IF(ISERROR($V17),"",OFFSET('Smelter Look-up'!$F$4,$V17-4,0)))</f>
        <v>RMI</v>
      </c>
      <c r="H17" s="218">
        <f ca="1">IF(ISERROR($V17),"",OFFSET('Smelter Look-up'!$G$4,$V17-4,0))</f>
        <v>0</v>
      </c>
      <c r="I17" s="219" t="str">
        <f ca="1">IF(ISERROR($V17),"",OFFSET('Smelter Look-up'!$H$4,$V17-4,0))</f>
        <v>Beerse</v>
      </c>
      <c r="J17" s="219" t="str">
        <f ca="1">IF(ISERROR($V17),"",OFFSET('Smelter Look-up'!$I$4,$V17-4,0))</f>
        <v>Antwerpen</v>
      </c>
      <c r="K17" s="273"/>
      <c r="L17" s="273"/>
      <c r="M17" s="273"/>
      <c r="N17" s="273"/>
      <c r="O17" s="273"/>
      <c r="P17" s="220"/>
      <c r="Q17" s="274"/>
      <c r="R17" s="217" t="str">
        <f ca="1">IF(ISERROR($V17),"",OFFSET('Smelter Look-up'!$C$4,$V17-4,0)&amp;"")</f>
        <v>Metallo Belgium N.V.</v>
      </c>
      <c r="S17" s="225" t="str">
        <f t="shared" ca="1" si="3"/>
        <v>BE</v>
      </c>
      <c r="T17" s="225" t="str">
        <f ca="1">IF(B17="","",IF(ISERROR(MATCH($J17,SorP!$B$1:$B$6230,0)),"",INDIRECT("'SorP'!$A$"&amp;MATCH($J17,SorP!$B$1:$B$6230,0))))</f>
        <v>BE-VAN</v>
      </c>
      <c r="U17" s="241"/>
      <c r="V17" s="275">
        <f ca="1">IF(C17="",NA(),MATCH($B17&amp;$C17,'Smelter Look-up'!$J:$J,0))</f>
        <v>419</v>
      </c>
      <c r="W17" s="276"/>
      <c r="X17" s="276">
        <f t="shared" ca="1" si="4"/>
        <v>0</v>
      </c>
      <c r="Y17" s="276"/>
      <c r="Z17" s="276"/>
      <c r="AB17" s="278" t="str">
        <f t="shared" ca="1" si="5"/>
        <v>TinMetallo Belgium N.V.</v>
      </c>
    </row>
    <row r="18" spans="1:28" s="277" customFormat="1" ht="20.100000000000001" customHeight="1">
      <c r="A18" s="216" t="s">
        <v>666</v>
      </c>
      <c r="B18" s="217" t="str">
        <f ca="1">IF(LEN(A18)=0,"",INDEX('Smelter Look-up'!$A:$A,MATCH($A18,'Smelter Look-up'!$E:$E,0)))</f>
        <v>Gold</v>
      </c>
      <c r="C18" s="221" t="str">
        <f ca="1">IF(LEN(A18)=0,"",INDEX('Smelter Look-up'!$C:$C,MATCH($A18,'Smelter Look-up'!$E:$E,0)))</f>
        <v>Aida Chemical Industries Co., Ltd.</v>
      </c>
      <c r="D18" s="283"/>
      <c r="E18" s="217" t="str">
        <f ca="1">IF(ISERROR($V18),"",OFFSET('Smelter Look-up'!$D$4,$V18-4,0)&amp;"")</f>
        <v>JAPAN</v>
      </c>
      <c r="F18" s="217" t="str">
        <f ca="1">IF(ISERROR($V18),"",OFFSET('Smelter Look-up'!$E$4,$V18-4,0))</f>
        <v>CID000019</v>
      </c>
      <c r="G18" s="217" t="str">
        <f ca="1">IF(C18=$X$4,"Enter smelter details",IF(ISERROR($V18),"",OFFSET('Smelter Look-up'!$F$4,$V18-4,0)))</f>
        <v>RMI</v>
      </c>
      <c r="H18" s="218">
        <f ca="1">IF(ISERROR($V18),"",OFFSET('Smelter Look-up'!$G$4,$V18-4,0))</f>
        <v>0</v>
      </c>
      <c r="I18" s="219" t="str">
        <f ca="1">IF(ISERROR($V18),"",OFFSET('Smelter Look-up'!$H$4,$V18-4,0))</f>
        <v>Fuchu</v>
      </c>
      <c r="J18" s="219" t="str">
        <f ca="1">IF(ISERROR($V18),"",OFFSET('Smelter Look-up'!$I$4,$V18-4,0))</f>
        <v>Tokyo</v>
      </c>
      <c r="K18" s="273"/>
      <c r="L18" s="273"/>
      <c r="M18" s="273"/>
      <c r="N18" s="273"/>
      <c r="O18" s="273"/>
      <c r="P18" s="220"/>
      <c r="Q18" s="274"/>
      <c r="R18" s="217" t="str">
        <f ca="1">IF(ISERROR($V18),"",OFFSET('Smelter Look-up'!$C$4,$V18-4,0)&amp;"")</f>
        <v>Aida Chemical Industries Co., Ltd.</v>
      </c>
      <c r="S18" s="225" t="str">
        <f t="shared" ca="1" si="3"/>
        <v>JP</v>
      </c>
      <c r="T18" s="225" t="str">
        <f ca="1">IF(B18="","",IF(ISERROR(MATCH($J18,SorP!$B$1:$B$6230,0)),"",INDIRECT("'SorP'!$A$"&amp;MATCH($J18,SorP!$B$1:$B$6230,0))))</f>
        <v>JP-13</v>
      </c>
      <c r="U18" s="241"/>
      <c r="V18" s="275">
        <f ca="1">IF(C18="",NA(),MATCH($B18&amp;$C18,'Smelter Look-up'!$J:$J,0))</f>
        <v>11</v>
      </c>
      <c r="W18" s="276"/>
      <c r="X18" s="276">
        <f t="shared" ca="1" si="4"/>
        <v>0</v>
      </c>
      <c r="Y18" s="276"/>
      <c r="Z18" s="276"/>
      <c r="AB18" s="278" t="str">
        <f t="shared" ca="1" si="5"/>
        <v>GoldAida Chemical Industries Co., Ltd.</v>
      </c>
    </row>
    <row r="19" spans="1:28" s="277" customFormat="1" ht="51">
      <c r="A19" s="216" t="s">
        <v>671</v>
      </c>
      <c r="B19" s="217" t="str">
        <f ca="1">IF(LEN(A19)=0,"",INDEX('Smelter Look-up'!$A:$A,MATCH($A19,'Smelter Look-up'!$E:$E,0)))</f>
        <v>Gold</v>
      </c>
      <c r="C19" s="221" t="str">
        <f ca="1">IF(LEN(A19)=0,"",INDEX('Smelter Look-up'!$C:$C,MATCH($A19,'Smelter Look-up'!$E:$E,0)))</f>
        <v>Asahi Pretec Corp.</v>
      </c>
      <c r="D19" s="283"/>
      <c r="E19" s="217" t="str">
        <f ca="1">IF(ISERROR($V19),"",OFFSET('Smelter Look-up'!$D$4,$V19-4,0)&amp;"")</f>
        <v>JAPAN</v>
      </c>
      <c r="F19" s="217" t="str">
        <f ca="1">IF(ISERROR($V19),"",OFFSET('Smelter Look-up'!$E$4,$V19-4,0))</f>
        <v>CID000082</v>
      </c>
      <c r="G19" s="217" t="str">
        <f ca="1">IF(C19=$X$4,"Enter smelter details",IF(ISERROR($V19),"",OFFSET('Smelter Look-up'!$F$4,$V19-4,0)))</f>
        <v>RMI</v>
      </c>
      <c r="H19" s="218">
        <f ca="1">IF(ISERROR($V19),"",OFFSET('Smelter Look-up'!$G$4,$V19-4,0))</f>
        <v>0</v>
      </c>
      <c r="I19" s="219" t="str">
        <f ca="1">IF(ISERROR($V19),"",OFFSET('Smelter Look-up'!$H$4,$V19-4,0))</f>
        <v>Kobe</v>
      </c>
      <c r="J19" s="219" t="str">
        <f ca="1">IF(ISERROR($V19),"",OFFSET('Smelter Look-up'!$I$4,$V19-4,0))</f>
        <v>Hyogo</v>
      </c>
      <c r="K19" s="273"/>
      <c r="L19" s="273"/>
      <c r="M19" s="273"/>
      <c r="N19" s="273"/>
      <c r="O19" s="273"/>
      <c r="P19" s="220"/>
      <c r="Q19" s="274"/>
      <c r="R19" s="217" t="str">
        <f ca="1">IF(ISERROR($V19),"",OFFSET('Smelter Look-up'!$C$4,$V19-4,0)&amp;"")</f>
        <v>Asahi Pretec Corp.</v>
      </c>
      <c r="S19" s="225" t="str">
        <f t="shared" ca="1" si="3"/>
        <v>JP</v>
      </c>
      <c r="T19" s="225" t="str">
        <f ca="1">IF(B19="","",IF(ISERROR(MATCH($J19,SorP!$B$1:$B$6230,0)),"",INDIRECT("'SorP'!$A$"&amp;MATCH($J19,SorP!$B$1:$B$6230,0))))</f>
        <v>JP-28</v>
      </c>
      <c r="U19" s="241"/>
      <c r="V19" s="275">
        <f ca="1">IF(C19="",NA(),MATCH($B19&amp;$C19,'Smelter Look-up'!$J:$J,0))</f>
        <v>24</v>
      </c>
      <c r="W19" s="276"/>
      <c r="X19" s="276">
        <f t="shared" ca="1" si="4"/>
        <v>0</v>
      </c>
      <c r="Y19" s="276"/>
      <c r="Z19" s="276"/>
      <c r="AB19" s="278" t="str">
        <f t="shared" ca="1" si="5"/>
        <v>GoldAsahi Pretec Corp.</v>
      </c>
    </row>
    <row r="20" spans="1:28" s="277" customFormat="1" ht="63.75">
      <c r="A20" s="216" t="s">
        <v>705</v>
      </c>
      <c r="B20" s="217" t="str">
        <f ca="1">IF(LEN(A20)=0,"",INDEX('Smelter Look-up'!$A:$A,MATCH($A20,'Smelter Look-up'!$E:$E,0)))</f>
        <v>Gold</v>
      </c>
      <c r="C20" s="221" t="str">
        <f ca="1">IF(LEN(A20)=0,"",INDEX('Smelter Look-up'!$C:$C,MATCH($A20,'Smelter Look-up'!$E:$E,0)))</f>
        <v>Asahi Refining Canada Ltd.</v>
      </c>
      <c r="D20" s="283"/>
      <c r="E20" s="217" t="str">
        <f ca="1">IF(ISERROR($V20),"",OFFSET('Smelter Look-up'!$D$4,$V20-4,0)&amp;"")</f>
        <v>CANADA</v>
      </c>
      <c r="F20" s="217" t="str">
        <f ca="1">IF(ISERROR($V20),"",OFFSET('Smelter Look-up'!$E$4,$V20-4,0))</f>
        <v>CID000924</v>
      </c>
      <c r="G20" s="217" t="str">
        <f ca="1">IF(C20=$X$4,"Enter smelter details",IF(ISERROR($V20),"",OFFSET('Smelter Look-up'!$F$4,$V20-4,0)))</f>
        <v>RMI</v>
      </c>
      <c r="H20" s="218">
        <f ca="1">IF(ISERROR($V20),"",OFFSET('Smelter Look-up'!$G$4,$V20-4,0))</f>
        <v>0</v>
      </c>
      <c r="I20" s="219" t="str">
        <f ca="1">IF(ISERROR($V20),"",OFFSET('Smelter Look-up'!$H$4,$V20-4,0))</f>
        <v>Brampton</v>
      </c>
      <c r="J20" s="219" t="str">
        <f ca="1">IF(ISERROR($V20),"",OFFSET('Smelter Look-up'!$I$4,$V20-4,0))</f>
        <v>Ontario</v>
      </c>
      <c r="K20" s="273"/>
      <c r="L20" s="273"/>
      <c r="M20" s="273"/>
      <c r="N20" s="273"/>
      <c r="O20" s="273"/>
      <c r="P20" s="220"/>
      <c r="Q20" s="274"/>
      <c r="R20" s="217" t="str">
        <f ca="1">IF(ISERROR($V20),"",OFFSET('Smelter Look-up'!$C$4,$V20-4,0)&amp;"")</f>
        <v>Asahi Refining Canada Ltd.</v>
      </c>
      <c r="S20" s="225" t="str">
        <f t="shared" ca="1" si="3"/>
        <v>CA</v>
      </c>
      <c r="T20" s="225" t="str">
        <f ca="1">IF(B20="","",IF(ISERROR(MATCH($J20,SorP!$B$1:$B$6230,0)),"",INDIRECT("'SorP'!$A$"&amp;MATCH($J20,SorP!$B$1:$B$6230,0))))</f>
        <v>CA-ON</v>
      </c>
      <c r="U20" s="241"/>
      <c r="V20" s="275">
        <f ca="1">IF(C20="",NA(),MATCH($B20&amp;$C20,'Smelter Look-up'!$J:$J,0))</f>
        <v>25</v>
      </c>
      <c r="W20" s="276"/>
      <c r="X20" s="276">
        <f t="shared" ca="1" si="4"/>
        <v>0</v>
      </c>
      <c r="Y20" s="276"/>
      <c r="Z20" s="276"/>
      <c r="AB20" s="278" t="str">
        <f t="shared" ca="1" si="5"/>
        <v>GoldAsahi Refining Canada Ltd.</v>
      </c>
    </row>
    <row r="21" spans="1:28" s="277" customFormat="1" ht="51">
      <c r="A21" s="216" t="s">
        <v>672</v>
      </c>
      <c r="B21" s="217" t="str">
        <f ca="1">IF(LEN(A21)=0,"",INDEX('Smelter Look-up'!$A:$A,MATCH($A21,'Smelter Look-up'!$E:$E,0)))</f>
        <v>Gold</v>
      </c>
      <c r="C21" s="221" t="str">
        <f ca="1">IF(LEN(A21)=0,"",INDEX('Smelter Look-up'!$C:$C,MATCH($A21,'Smelter Look-up'!$E:$E,0)))</f>
        <v>Asaka Riken Co., Ltd.</v>
      </c>
      <c r="D21" s="283"/>
      <c r="E21" s="217" t="str">
        <f ca="1">IF(ISERROR($V21),"",OFFSET('Smelter Look-up'!$D$4,$V21-4,0)&amp;"")</f>
        <v>JAPAN</v>
      </c>
      <c r="F21" s="217" t="str">
        <f ca="1">IF(ISERROR($V21),"",OFFSET('Smelter Look-up'!$E$4,$V21-4,0))</f>
        <v>CID000090</v>
      </c>
      <c r="G21" s="217" t="str">
        <f ca="1">IF(C21=$X$4,"Enter smelter details",IF(ISERROR($V21),"",OFFSET('Smelter Look-up'!$F$4,$V21-4,0)))</f>
        <v>RMI</v>
      </c>
      <c r="H21" s="218">
        <f ca="1">IF(ISERROR($V21),"",OFFSET('Smelter Look-up'!$G$4,$V21-4,0))</f>
        <v>0</v>
      </c>
      <c r="I21" s="219" t="str">
        <f ca="1">IF(ISERROR($V21),"",OFFSET('Smelter Look-up'!$H$4,$V21-4,0))</f>
        <v>Tamura</v>
      </c>
      <c r="J21" s="219" t="str">
        <f ca="1">IF(ISERROR($V21),"",OFFSET('Smelter Look-up'!$I$4,$V21-4,0))</f>
        <v>Fukushima</v>
      </c>
      <c r="K21" s="273"/>
      <c r="L21" s="273"/>
      <c r="M21" s="273"/>
      <c r="N21" s="273"/>
      <c r="O21" s="273"/>
      <c r="P21" s="220"/>
      <c r="Q21" s="274"/>
      <c r="R21" s="217" t="str">
        <f ca="1">IF(ISERROR($V21),"",OFFSET('Smelter Look-up'!$C$4,$V21-4,0)&amp;"")</f>
        <v>Asaka Riken Co., Ltd.</v>
      </c>
      <c r="S21" s="225" t="str">
        <f t="shared" ca="1" si="3"/>
        <v>JP</v>
      </c>
      <c r="T21" s="225" t="str">
        <f ca="1">IF(B21="","",IF(ISERROR(MATCH($J21,SorP!$B$1:$B$6230,0)),"",INDIRECT("'SorP'!$A$"&amp;MATCH($J21,SorP!$B$1:$B$6230,0))))</f>
        <v>JP-07</v>
      </c>
      <c r="U21" s="241"/>
      <c r="V21" s="275">
        <f ca="1">IF(C21="",NA(),MATCH($B21&amp;$C21,'Smelter Look-up'!$J:$J,0))</f>
        <v>27</v>
      </c>
      <c r="W21" s="276"/>
      <c r="X21" s="276">
        <f t="shared" ca="1" si="4"/>
        <v>0</v>
      </c>
      <c r="Y21" s="276"/>
      <c r="Z21" s="276"/>
      <c r="AB21" s="278" t="str">
        <f t="shared" ca="1" si="5"/>
        <v>GoldAsaka Riken Co., Ltd.</v>
      </c>
    </row>
    <row r="22" spans="1:28" s="277" customFormat="1" ht="51">
      <c r="A22" s="216" t="s">
        <v>670</v>
      </c>
      <c r="B22" s="217" t="str">
        <f ca="1">IF(LEN(A22)=0,"",INDEX('Smelter Look-up'!$A:$A,MATCH($A22,'Smelter Look-up'!$E:$E,0)))</f>
        <v>Gold</v>
      </c>
      <c r="C22" s="221" t="str">
        <f ca="1">IF(LEN(A22)=0,"",INDEX('Smelter Look-up'!$C:$C,MATCH($A22,'Smelter Look-up'!$E:$E,0)))</f>
        <v>Argor-Heraeus S.A.</v>
      </c>
      <c r="D22" s="283"/>
      <c r="E22" s="217" t="str">
        <f ca="1">IF(ISERROR($V22),"",OFFSET('Smelter Look-up'!$D$4,$V22-4,0)&amp;"")</f>
        <v>SWITZERLAND</v>
      </c>
      <c r="F22" s="217" t="str">
        <f ca="1">IF(ISERROR($V22),"",OFFSET('Smelter Look-up'!$E$4,$V22-4,0))</f>
        <v>CID000077</v>
      </c>
      <c r="G22" s="217" t="str">
        <f ca="1">IF(C22=$X$4,"Enter smelter details",IF(ISERROR($V22),"",OFFSET('Smelter Look-up'!$F$4,$V22-4,0)))</f>
        <v>RMI</v>
      </c>
      <c r="H22" s="218">
        <f ca="1">IF(ISERROR($V22),"",OFFSET('Smelter Look-up'!$G$4,$V22-4,0))</f>
        <v>0</v>
      </c>
      <c r="I22" s="219" t="str">
        <f ca="1">IF(ISERROR($V22),"",OFFSET('Smelter Look-up'!$H$4,$V22-4,0))</f>
        <v>Mendrisio</v>
      </c>
      <c r="J22" s="219" t="str">
        <f ca="1">IF(ISERROR($V22),"",OFFSET('Smelter Look-up'!$I$4,$V22-4,0))</f>
        <v>Ticino</v>
      </c>
      <c r="K22" s="273"/>
      <c r="L22" s="273"/>
      <c r="M22" s="273"/>
      <c r="N22" s="273"/>
      <c r="O22" s="273"/>
      <c r="P22" s="220"/>
      <c r="Q22" s="274"/>
      <c r="R22" s="217" t="str">
        <f ca="1">IF(ISERROR($V22),"",OFFSET('Smelter Look-up'!$C$4,$V22-4,0)&amp;"")</f>
        <v>Argor-Heraeus S.A.</v>
      </c>
      <c r="S22" s="225" t="str">
        <f t="shared" ca="1" si="3"/>
        <v>CH</v>
      </c>
      <c r="T22" s="225" t="str">
        <f ca="1">IF(B22="","",IF(ISERROR(MATCH($J22,SorP!$B$1:$B$6230,0)),"",INDIRECT("'SorP'!$A$"&amp;MATCH($J22,SorP!$B$1:$B$6230,0))))</f>
        <v>CH-TI</v>
      </c>
      <c r="U22" s="241"/>
      <c r="V22" s="275">
        <f ca="1">IF(C22="",NA(),MATCH($B22&amp;$C22,'Smelter Look-up'!$J:$J,0))</f>
        <v>23</v>
      </c>
      <c r="W22" s="276"/>
      <c r="X22" s="276">
        <f t="shared" ca="1" si="4"/>
        <v>0</v>
      </c>
      <c r="Y22" s="276"/>
      <c r="Z22" s="276"/>
      <c r="AB22" s="278" t="str">
        <f t="shared" ca="1" si="5"/>
        <v>GoldArgor-Heraeus S.A.</v>
      </c>
    </row>
    <row r="23" spans="1:28" s="277" customFormat="1" ht="25.5">
      <c r="A23" s="216" t="s">
        <v>689</v>
      </c>
      <c r="B23" s="217" t="str">
        <f ca="1">IF(LEN(A23)=0,"",INDEX('Smelter Look-up'!$A:$A,MATCH($A23,'Smelter Look-up'!$E:$E,0)))</f>
        <v>Gold</v>
      </c>
      <c r="C23" s="221" t="str">
        <f ca="1">IF(LEN(A23)=0,"",INDEX('Smelter Look-up'!$C:$C,MATCH($A23,'Smelter Look-up'!$E:$E,0)))</f>
        <v>Dowa</v>
      </c>
      <c r="D23" s="283"/>
      <c r="E23" s="217" t="str">
        <f ca="1">IF(ISERROR($V23),"",OFFSET('Smelter Look-up'!$D$4,$V23-4,0)&amp;"")</f>
        <v>JAPAN</v>
      </c>
      <c r="F23" s="217" t="str">
        <f ca="1">IF(ISERROR($V23),"",OFFSET('Smelter Look-up'!$E$4,$V23-4,0))</f>
        <v>CID000401</v>
      </c>
      <c r="G23" s="217" t="str">
        <f ca="1">IF(C23=$X$4,"Enter smelter details",IF(ISERROR($V23),"",OFFSET('Smelter Look-up'!$F$4,$V23-4,0)))</f>
        <v>RMI</v>
      </c>
      <c r="H23" s="218">
        <f ca="1">IF(ISERROR($V23),"",OFFSET('Smelter Look-up'!$G$4,$V23-4,0))</f>
        <v>0</v>
      </c>
      <c r="I23" s="219" t="str">
        <f ca="1">IF(ISERROR($V23),"",OFFSET('Smelter Look-up'!$H$4,$V23-4,0))</f>
        <v>Kosaka</v>
      </c>
      <c r="J23" s="219" t="str">
        <f ca="1">IF(ISERROR($V23),"",OFFSET('Smelter Look-up'!$I$4,$V23-4,0))</f>
        <v>Akita</v>
      </c>
      <c r="K23" s="273"/>
      <c r="L23" s="273"/>
      <c r="M23" s="273"/>
      <c r="N23" s="273"/>
      <c r="O23" s="273"/>
      <c r="P23" s="220"/>
      <c r="Q23" s="274"/>
      <c r="R23" s="217" t="str">
        <f ca="1">IF(ISERROR($V23),"",OFFSET('Smelter Look-up'!$C$4,$V23-4,0)&amp;"")</f>
        <v>Dowa</v>
      </c>
      <c r="S23" s="225" t="str">
        <f t="shared" ca="1" si="3"/>
        <v>JP</v>
      </c>
      <c r="T23" s="225" t="str">
        <f ca="1">IF(B23="","",IF(ISERROR(MATCH($J23,SorP!$B$1:$B$6230,0)),"",INDIRECT("'SorP'!$A$"&amp;MATCH($J23,SorP!$B$1:$B$6230,0))))</f>
        <v>JP-05</v>
      </c>
      <c r="U23" s="241"/>
      <c r="V23" s="275">
        <f ca="1">IF(C23="",NA(),MATCH($B23&amp;$C23,'Smelter Look-up'!$J:$J,0))</f>
        <v>63</v>
      </c>
      <c r="W23" s="276"/>
      <c r="X23" s="276">
        <f t="shared" ca="1" si="4"/>
        <v>0</v>
      </c>
      <c r="Y23" s="276"/>
      <c r="Z23" s="276"/>
      <c r="AB23" s="278" t="str">
        <f t="shared" ca="1" si="5"/>
        <v>GoldDowa</v>
      </c>
    </row>
    <row r="24" spans="1:28" s="277" customFormat="1" ht="89.25">
      <c r="A24" s="216" t="s">
        <v>407</v>
      </c>
      <c r="B24" s="217" t="str">
        <f ca="1">IF(LEN(A24)=0,"",INDEX('Smelter Look-up'!$A:$A,MATCH($A24,'Smelter Look-up'!$E:$E,0)))</f>
        <v>Gold</v>
      </c>
      <c r="C24" s="221" t="str">
        <f ca="1">IF(LEN(A24)=0,"",INDEX('Smelter Look-up'!$C:$C,MATCH($A24,'Smelter Look-up'!$E:$E,0)))</f>
        <v>Eco-System Recycling Co., Ltd. East Plant</v>
      </c>
      <c r="D24" s="283"/>
      <c r="E24" s="217" t="str">
        <f ca="1">IF(ISERROR($V24),"",OFFSET('Smelter Look-up'!$D$4,$V24-4,0)&amp;"")</f>
        <v>JAPAN</v>
      </c>
      <c r="F24" s="217" t="str">
        <f ca="1">IF(ISERROR($V24),"",OFFSET('Smelter Look-up'!$E$4,$V24-4,0))</f>
        <v>CID000425</v>
      </c>
      <c r="G24" s="217" t="str">
        <f ca="1">IF(C24=$X$4,"Enter smelter details",IF(ISERROR($V24),"",OFFSET('Smelter Look-up'!$F$4,$V24-4,0)))</f>
        <v>RMI</v>
      </c>
      <c r="H24" s="218">
        <f ca="1">IF(ISERROR($V24),"",OFFSET('Smelter Look-up'!$G$4,$V24-4,0))</f>
        <v>0</v>
      </c>
      <c r="I24" s="219" t="str">
        <f ca="1">IF(ISERROR($V24),"",OFFSET('Smelter Look-up'!$H$4,$V24-4,0))</f>
        <v>Honjo</v>
      </c>
      <c r="J24" s="219" t="str">
        <f ca="1">IF(ISERROR($V24),"",OFFSET('Smelter Look-up'!$I$4,$V24-4,0))</f>
        <v>Saitama</v>
      </c>
      <c r="K24" s="273"/>
      <c r="L24" s="273"/>
      <c r="M24" s="273"/>
      <c r="N24" s="273"/>
      <c r="O24" s="273"/>
      <c r="P24" s="220"/>
      <c r="Q24" s="274"/>
      <c r="R24" s="217" t="str">
        <f ca="1">IF(ISERROR($V24),"",OFFSET('Smelter Look-up'!$C$4,$V24-4,0)&amp;"")</f>
        <v>Eco-System Recycling Co., Ltd. East Plant</v>
      </c>
      <c r="S24" s="225" t="str">
        <f t="shared" ca="1" si="3"/>
        <v>JP</v>
      </c>
      <c r="T24" s="225" t="str">
        <f ca="1">IF(B24="","",IF(ISERROR(MATCH($J24,SorP!$B$1:$B$6230,0)),"",INDIRECT("'SorP'!$A$"&amp;MATCH($J24,SorP!$B$1:$B$6230,0))))</f>
        <v>JP-11</v>
      </c>
      <c r="U24" s="241"/>
      <c r="V24" s="275">
        <f ca="1">IF(C24="",NA(),MATCH($B24&amp;$C24,'Smelter Look-up'!$J:$J,0))</f>
        <v>69</v>
      </c>
      <c r="W24" s="276"/>
      <c r="X24" s="276">
        <f t="shared" ca="1" si="4"/>
        <v>0</v>
      </c>
      <c r="Y24" s="276"/>
      <c r="Z24" s="276"/>
      <c r="AB24" s="278" t="str">
        <f t="shared" ca="1" si="5"/>
        <v>GoldEco-System Recycling Co., Ltd. East Plant</v>
      </c>
    </row>
    <row r="25" spans="1:28" s="277" customFormat="1" ht="76.5">
      <c r="A25" s="216" t="s">
        <v>696</v>
      </c>
      <c r="B25" s="217" t="str">
        <f ca="1">IF(LEN(A25)=0,"",INDEX('Smelter Look-up'!$A:$A,MATCH($A25,'Smelter Look-up'!$E:$E,0)))</f>
        <v>Gold</v>
      </c>
      <c r="C25" s="221" t="str">
        <f ca="1">IF(LEN(A25)=0,"",INDEX('Smelter Look-up'!$C:$C,MATCH($A25,'Smelter Look-up'!$E:$E,0)))</f>
        <v>Heraeus Precious Metals GmbH &amp; Co. KG</v>
      </c>
      <c r="D25" s="283"/>
      <c r="E25" s="217" t="str">
        <f ca="1">IF(ISERROR($V25),"",OFFSET('Smelter Look-up'!$D$4,$V25-4,0)&amp;"")</f>
        <v>GERMANY</v>
      </c>
      <c r="F25" s="217" t="str">
        <f ca="1">IF(ISERROR($V25),"",OFFSET('Smelter Look-up'!$E$4,$V25-4,0))</f>
        <v>CID000711</v>
      </c>
      <c r="G25" s="217" t="str">
        <f ca="1">IF(C25=$X$4,"Enter smelter details",IF(ISERROR($V25),"",OFFSET('Smelter Look-up'!$F$4,$V25-4,0)))</f>
        <v>RMI</v>
      </c>
      <c r="H25" s="218">
        <f ca="1">IF(ISERROR($V25),"",OFFSET('Smelter Look-up'!$G$4,$V25-4,0))</f>
        <v>0</v>
      </c>
      <c r="I25" s="219" t="str">
        <f ca="1">IF(ISERROR($V25),"",OFFSET('Smelter Look-up'!$H$4,$V25-4,0))</f>
        <v>Hanau</v>
      </c>
      <c r="J25" s="219" t="str">
        <f ca="1">IF(ISERROR($V25),"",OFFSET('Smelter Look-up'!$I$4,$V25-4,0))</f>
        <v>Hessen</v>
      </c>
      <c r="K25" s="273"/>
      <c r="L25" s="273"/>
      <c r="M25" s="273"/>
      <c r="N25" s="273"/>
      <c r="O25" s="273"/>
      <c r="P25" s="220"/>
      <c r="Q25" s="274"/>
      <c r="R25" s="217" t="str">
        <f ca="1">IF(ISERROR($V25),"",OFFSET('Smelter Look-up'!$C$4,$V25-4,0)&amp;"")</f>
        <v>Heraeus Precious Metals GmbH &amp; Co. KG</v>
      </c>
      <c r="S25" s="225" t="str">
        <f t="shared" ca="1" si="3"/>
        <v>DE</v>
      </c>
      <c r="T25" s="225" t="str">
        <f ca="1">IF(B25="","",IF(ISERROR(MATCH($J25,SorP!$B$1:$B$6230,0)),"",INDIRECT("'SorP'!$A$"&amp;MATCH($J25,SorP!$B$1:$B$6230,0))))</f>
        <v>DE-HE</v>
      </c>
      <c r="U25" s="241"/>
      <c r="V25" s="275">
        <f ca="1">IF(C25="",NA(),MATCH($B25&amp;$C25,'Smelter Look-up'!$J:$J,0))</f>
        <v>98</v>
      </c>
      <c r="W25" s="276"/>
      <c r="X25" s="276">
        <f t="shared" ca="1" si="4"/>
        <v>0</v>
      </c>
      <c r="Y25" s="276"/>
      <c r="Z25" s="276"/>
      <c r="AB25" s="278" t="str">
        <f t="shared" ca="1" si="5"/>
        <v>GoldHeraeus Precious Metals GmbH &amp; Co. KG</v>
      </c>
    </row>
    <row r="26" spans="1:28" s="277" customFormat="1" ht="76.5">
      <c r="A26" s="216" t="s">
        <v>695</v>
      </c>
      <c r="B26" s="217" t="str">
        <f ca="1">IF(LEN(A26)=0,"",INDEX('Smelter Look-up'!$A:$A,MATCH($A26,'Smelter Look-up'!$E:$E,0)))</f>
        <v>Gold</v>
      </c>
      <c r="C26" s="221" t="str">
        <f ca="1">IF(LEN(A26)=0,"",INDEX('Smelter Look-up'!$C:$C,MATCH($A26,'Smelter Look-up'!$E:$E,0)))</f>
        <v>Heraeus Metals Hong Kong Ltd.</v>
      </c>
      <c r="D26" s="283"/>
      <c r="E26" s="217" t="str">
        <f ca="1">IF(ISERROR($V26),"",OFFSET('Smelter Look-up'!$D$4,$V26-4,0)&amp;"")</f>
        <v>CHINA</v>
      </c>
      <c r="F26" s="217" t="str">
        <f ca="1">IF(ISERROR($V26),"",OFFSET('Smelter Look-up'!$E$4,$V26-4,0))</f>
        <v>CID000707</v>
      </c>
      <c r="G26" s="217" t="str">
        <f ca="1">IF(C26=$X$4,"Enter smelter details",IF(ISERROR($V26),"",OFFSET('Smelter Look-up'!$F$4,$V26-4,0)))</f>
        <v>RMI</v>
      </c>
      <c r="H26" s="218">
        <f ca="1">IF(ISERROR($V26),"",OFFSET('Smelter Look-up'!$G$4,$V26-4,0))</f>
        <v>0</v>
      </c>
      <c r="I26" s="219" t="str">
        <f ca="1">IF(ISERROR($V26),"",OFFSET('Smelter Look-up'!$H$4,$V26-4,0))</f>
        <v>Fanling</v>
      </c>
      <c r="J26" s="219" t="str">
        <f ca="1">IF(ISERROR($V26),"",OFFSET('Smelter Look-up'!$I$4,$V26-4,0))</f>
        <v>Hong Kong SAR</v>
      </c>
      <c r="K26" s="273"/>
      <c r="L26" s="273"/>
      <c r="M26" s="273"/>
      <c r="N26" s="273"/>
      <c r="O26" s="273"/>
      <c r="P26" s="220"/>
      <c r="Q26" s="274"/>
      <c r="R26" s="217" t="str">
        <f ca="1">IF(ISERROR($V26),"",OFFSET('Smelter Look-up'!$C$4,$V26-4,0)&amp;"")</f>
        <v>Heraeus Metals Hong Kong Ltd.</v>
      </c>
      <c r="S26" s="225" t="str">
        <f t="shared" ca="1" si="3"/>
        <v>CN</v>
      </c>
      <c r="T26" s="225" t="str">
        <f ca="1">IF(B26="","",IF(ISERROR(MATCH($J26,SorP!$B$1:$B$6230,0)),"",INDIRECT("'SorP'!$A$"&amp;MATCH($J26,SorP!$B$1:$B$6230,0))))</f>
        <v>CN-HK</v>
      </c>
      <c r="U26" s="241"/>
      <c r="V26" s="275">
        <f ca="1">IF(C26="",NA(),MATCH($B26&amp;$C26,'Smelter Look-up'!$J:$J,0))</f>
        <v>97</v>
      </c>
      <c r="W26" s="276"/>
      <c r="X26" s="276">
        <f t="shared" ca="1" si="4"/>
        <v>0</v>
      </c>
      <c r="Y26" s="276"/>
      <c r="Z26" s="276"/>
      <c r="AB26" s="278" t="str">
        <f t="shared" ca="1" si="5"/>
        <v>GoldHeraeus Metals Hong Kong Ltd.</v>
      </c>
    </row>
    <row r="27" spans="1:28" s="277" customFormat="1" ht="76.5">
      <c r="A27" s="216" t="s">
        <v>700</v>
      </c>
      <c r="B27" s="217" t="str">
        <f ca="1">IF(LEN(A27)=0,"",INDEX('Smelter Look-up'!$A:$A,MATCH($A27,'Smelter Look-up'!$E:$E,0)))</f>
        <v>Gold</v>
      </c>
      <c r="C27" s="221" t="str">
        <f ca="1">IF(LEN(A27)=0,"",INDEX('Smelter Look-up'!$C:$C,MATCH($A27,'Smelter Look-up'!$E:$E,0)))</f>
        <v>Ishifuku Metal Industry Co., Ltd.</v>
      </c>
      <c r="D27" s="283"/>
      <c r="E27" s="217" t="str">
        <f ca="1">IF(ISERROR($V27),"",OFFSET('Smelter Look-up'!$D$4,$V27-4,0)&amp;"")</f>
        <v>JAPAN</v>
      </c>
      <c r="F27" s="217" t="str">
        <f ca="1">IF(ISERROR($V27),"",OFFSET('Smelter Look-up'!$E$4,$V27-4,0))</f>
        <v>CID000807</v>
      </c>
      <c r="G27" s="217" t="str">
        <f ca="1">IF(C27=$X$4,"Enter smelter details",IF(ISERROR($V27),"",OFFSET('Smelter Look-up'!$F$4,$V27-4,0)))</f>
        <v>RMI</v>
      </c>
      <c r="H27" s="218">
        <f ca="1">IF(ISERROR($V27),"",OFFSET('Smelter Look-up'!$G$4,$V27-4,0))</f>
        <v>0</v>
      </c>
      <c r="I27" s="219" t="str">
        <f ca="1">IF(ISERROR($V27),"",OFFSET('Smelter Look-up'!$H$4,$V27-4,0))</f>
        <v>Soka</v>
      </c>
      <c r="J27" s="219" t="str">
        <f ca="1">IF(ISERROR($V27),"",OFFSET('Smelter Look-up'!$I$4,$V27-4,0))</f>
        <v>Saitama</v>
      </c>
      <c r="K27" s="273"/>
      <c r="L27" s="273"/>
      <c r="M27" s="273"/>
      <c r="N27" s="273"/>
      <c r="O27" s="273"/>
      <c r="P27" s="220"/>
      <c r="Q27" s="274"/>
      <c r="R27" s="217" t="str">
        <f ca="1">IF(ISERROR($V27),"",OFFSET('Smelter Look-up'!$C$4,$V27-4,0)&amp;"")</f>
        <v>Ishifuku Metal Industry Co., Ltd.</v>
      </c>
      <c r="S27" s="225" t="str">
        <f t="shared" ca="1" si="3"/>
        <v>JP</v>
      </c>
      <c r="T27" s="225" t="str">
        <f ca="1">IF(B27="","",IF(ISERROR(MATCH($J27,SorP!$B$1:$B$6230,0)),"",INDIRECT("'SorP'!$A$"&amp;MATCH($J27,SorP!$B$1:$B$6230,0))))</f>
        <v>JP-11</v>
      </c>
      <c r="U27" s="241"/>
      <c r="V27" s="275">
        <f ca="1">IF(C27="",NA(),MATCH($B27&amp;$C27,'Smelter Look-up'!$J:$J,0))</f>
        <v>107</v>
      </c>
      <c r="W27" s="276"/>
      <c r="X27" s="276">
        <f t="shared" ca="1" si="4"/>
        <v>0</v>
      </c>
      <c r="Y27" s="276"/>
      <c r="Z27" s="276"/>
      <c r="AB27" s="278" t="str">
        <f t="shared" ca="1" si="5"/>
        <v>GoldIshifuku Metal Industry Co., Ltd.</v>
      </c>
    </row>
    <row r="28" spans="1:28" s="277" customFormat="1" ht="76.5">
      <c r="A28" s="216" t="s">
        <v>708</v>
      </c>
      <c r="B28" s="217" t="str">
        <f ca="1">IF(LEN(A28)=0,"",INDEX('Smelter Look-up'!$A:$A,MATCH($A28,'Smelter Look-up'!$E:$E,0)))</f>
        <v>Gold</v>
      </c>
      <c r="C28" s="221" t="str">
        <f ca="1">IF(LEN(A28)=0,"",INDEX('Smelter Look-up'!$C:$C,MATCH($A28,'Smelter Look-up'!$E:$E,0)))</f>
        <v>JX Nippon Mining &amp; Metals Co., Ltd.</v>
      </c>
      <c r="D28" s="283"/>
      <c r="E28" s="217" t="str">
        <f ca="1">IF(ISERROR($V28),"",OFFSET('Smelter Look-up'!$D$4,$V28-4,0)&amp;"")</f>
        <v>JAPAN</v>
      </c>
      <c r="F28" s="217" t="str">
        <f ca="1">IF(ISERROR($V28),"",OFFSET('Smelter Look-up'!$E$4,$V28-4,0))</f>
        <v>CID000937</v>
      </c>
      <c r="G28" s="217" t="str">
        <f ca="1">IF(C28=$X$4,"Enter smelter details",IF(ISERROR($V28),"",OFFSET('Smelter Look-up'!$F$4,$V28-4,0)))</f>
        <v>RMI</v>
      </c>
      <c r="H28" s="218">
        <f ca="1">IF(ISERROR($V28),"",OFFSET('Smelter Look-up'!$G$4,$V28-4,0))</f>
        <v>0</v>
      </c>
      <c r="I28" s="219" t="str">
        <f ca="1">IF(ISERROR($V28),"",OFFSET('Smelter Look-up'!$H$4,$V28-4,0))</f>
        <v>Ōita</v>
      </c>
      <c r="J28" s="219" t="str">
        <f ca="1">IF(ISERROR($V28),"",OFFSET('Smelter Look-up'!$I$4,$V28-4,0))</f>
        <v>Ôita</v>
      </c>
      <c r="K28" s="273"/>
      <c r="L28" s="273"/>
      <c r="M28" s="273"/>
      <c r="N28" s="273"/>
      <c r="O28" s="273"/>
      <c r="P28" s="220"/>
      <c r="Q28" s="274"/>
      <c r="R28" s="217" t="str">
        <f ca="1">IF(ISERROR($V28),"",OFFSET('Smelter Look-up'!$C$4,$V28-4,0)&amp;"")</f>
        <v>JX Nippon Mining &amp; Metals Co., Ltd.</v>
      </c>
      <c r="S28" s="225" t="str">
        <f t="shared" ca="1" si="3"/>
        <v>JP</v>
      </c>
      <c r="T28" s="225" t="str">
        <f ca="1">IF(B28="","",IF(ISERROR(MATCH($J28,SorP!$B$1:$B$6230,0)),"",INDIRECT("'SorP'!$A$"&amp;MATCH($J28,SorP!$B$1:$B$6230,0))))</f>
        <v>JP-44</v>
      </c>
      <c r="U28" s="241"/>
      <c r="V28" s="275">
        <f ca="1">IF(C28="",NA(),MATCH($B28&amp;$C28,'Smelter Look-up'!$J:$J,0))</f>
        <v>120</v>
      </c>
      <c r="W28" s="276"/>
      <c r="X28" s="276">
        <f t="shared" ca="1" si="4"/>
        <v>0</v>
      </c>
      <c r="Y28" s="276"/>
      <c r="Z28" s="276"/>
      <c r="AB28" s="278" t="str">
        <f t="shared" ca="1" si="5"/>
        <v>GoldJX Nippon Mining &amp; Metals Co., Ltd.</v>
      </c>
    </row>
    <row r="29" spans="1:28" s="277" customFormat="1" ht="63.75">
      <c r="A29" s="216" t="s">
        <v>711</v>
      </c>
      <c r="B29" s="217" t="str">
        <f ca="1">IF(LEN(A29)=0,"",INDEX('Smelter Look-up'!$A:$A,MATCH($A29,'Smelter Look-up'!$E:$E,0)))</f>
        <v>Gold</v>
      </c>
      <c r="C29" s="221" t="str">
        <f ca="1">IF(LEN(A29)=0,"",INDEX('Smelter Look-up'!$C:$C,MATCH($A29,'Smelter Look-up'!$E:$E,0)))</f>
        <v>Kennecott Utah Copper LLC</v>
      </c>
      <c r="D29" s="283"/>
      <c r="E29" s="217" t="str">
        <f ca="1">IF(ISERROR($V29),"",OFFSET('Smelter Look-up'!$D$4,$V29-4,0)&amp;"")</f>
        <v>UNITED STATES OF AMERICA</v>
      </c>
      <c r="F29" s="217" t="str">
        <f ca="1">IF(ISERROR($V29),"",OFFSET('Smelter Look-up'!$E$4,$V29-4,0))</f>
        <v>CID000969</v>
      </c>
      <c r="G29" s="217" t="str">
        <f ca="1">IF(C29=$X$4,"Enter smelter details",IF(ISERROR($V29),"",OFFSET('Smelter Look-up'!$F$4,$V29-4,0)))</f>
        <v>RMI</v>
      </c>
      <c r="H29" s="218">
        <f ca="1">IF(ISERROR($V29),"",OFFSET('Smelter Look-up'!$G$4,$V29-4,0))</f>
        <v>0</v>
      </c>
      <c r="I29" s="219" t="str">
        <f ca="1">IF(ISERROR($V29),"",OFFSET('Smelter Look-up'!$H$4,$V29-4,0))</f>
        <v>Magna</v>
      </c>
      <c r="J29" s="219" t="str">
        <f ca="1">IF(ISERROR($V29),"",OFFSET('Smelter Look-up'!$I$4,$V29-4,0))</f>
        <v>Utah</v>
      </c>
      <c r="K29" s="273"/>
      <c r="L29" s="273"/>
      <c r="M29" s="273"/>
      <c r="N29" s="273"/>
      <c r="O29" s="273"/>
      <c r="P29" s="220"/>
      <c r="Q29" s="274"/>
      <c r="R29" s="217" t="str">
        <f ca="1">IF(ISERROR($V29),"",OFFSET('Smelter Look-up'!$C$4,$V29-4,0)&amp;"")</f>
        <v>Kennecott Utah Copper LLC</v>
      </c>
      <c r="S29" s="225" t="str">
        <f t="shared" ca="1" si="3"/>
        <v>US</v>
      </c>
      <c r="T29" s="225" t="str">
        <f ca="1">IF(B29="","",IF(ISERROR(MATCH($J29,SorP!$B$1:$B$6230,0)),"",INDIRECT("'SorP'!$A$"&amp;MATCH($J29,SorP!$B$1:$B$6230,0))))</f>
        <v>US-UT</v>
      </c>
      <c r="U29" s="241"/>
      <c r="V29" s="275">
        <f ca="1">IF(C29="",NA(),MATCH($B29&amp;$C29,'Smelter Look-up'!$J:$J,0))</f>
        <v>124</v>
      </c>
      <c r="W29" s="276"/>
      <c r="X29" s="276">
        <f t="shared" ca="1" si="4"/>
        <v>0</v>
      </c>
      <c r="Y29" s="276"/>
      <c r="Z29" s="276"/>
      <c r="AB29" s="278" t="str">
        <f t="shared" ca="1" si="5"/>
        <v>GoldKennecott Utah Copper LLC</v>
      </c>
    </row>
    <row r="30" spans="1:28" s="277" customFormat="1" ht="63.75">
      <c r="A30" s="216" t="s">
        <v>712</v>
      </c>
      <c r="B30" s="217" t="str">
        <f ca="1">IF(LEN(A30)=0,"",INDEX('Smelter Look-up'!$A:$A,MATCH($A30,'Smelter Look-up'!$E:$E,0)))</f>
        <v>Gold</v>
      </c>
      <c r="C30" s="221" t="str">
        <f ca="1">IF(LEN(A30)=0,"",INDEX('Smelter Look-up'!$C:$C,MATCH($A30,'Smelter Look-up'!$E:$E,0)))</f>
        <v>Kojima Chemicals Co., Ltd.</v>
      </c>
      <c r="D30" s="283"/>
      <c r="E30" s="217" t="str">
        <f ca="1">IF(ISERROR($V30),"",OFFSET('Smelter Look-up'!$D$4,$V30-4,0)&amp;"")</f>
        <v>JAPAN</v>
      </c>
      <c r="F30" s="217" t="str">
        <f ca="1">IF(ISERROR($V30),"",OFFSET('Smelter Look-up'!$E$4,$V30-4,0))</f>
        <v>CID000981</v>
      </c>
      <c r="G30" s="217" t="str">
        <f ca="1">IF(C30=$X$4,"Enter smelter details",IF(ISERROR($V30),"",OFFSET('Smelter Look-up'!$F$4,$V30-4,0)))</f>
        <v>RMI</v>
      </c>
      <c r="H30" s="218">
        <f ca="1">IF(ISERROR($V30),"",OFFSET('Smelter Look-up'!$G$4,$V30-4,0))</f>
        <v>0</v>
      </c>
      <c r="I30" s="219" t="str">
        <f ca="1">IF(ISERROR($V30),"",OFFSET('Smelter Look-up'!$H$4,$V30-4,0))</f>
        <v>Sayama</v>
      </c>
      <c r="J30" s="219" t="str">
        <f ca="1">IF(ISERROR($V30),"",OFFSET('Smelter Look-up'!$I$4,$V30-4,0))</f>
        <v>Saitama</v>
      </c>
      <c r="K30" s="273"/>
      <c r="L30" s="273"/>
      <c r="M30" s="273"/>
      <c r="N30" s="273"/>
      <c r="O30" s="273"/>
      <c r="P30" s="220"/>
      <c r="Q30" s="274"/>
      <c r="R30" s="217" t="str">
        <f ca="1">IF(ISERROR($V30),"",OFFSET('Smelter Look-up'!$C$4,$V30-4,0)&amp;"")</f>
        <v>Kojima Chemicals Co., Ltd.</v>
      </c>
      <c r="S30" s="225" t="str">
        <f t="shared" ca="1" si="3"/>
        <v>JP</v>
      </c>
      <c r="T30" s="225" t="str">
        <f ca="1">IF(B30="","",IF(ISERROR(MATCH($J30,SorP!$B$1:$B$6230,0)),"",INDIRECT("'SorP'!$A$"&amp;MATCH($J30,SorP!$B$1:$B$6230,0))))</f>
        <v>JP-11</v>
      </c>
      <c r="U30" s="241"/>
      <c r="V30" s="275">
        <f ca="1">IF(C30="",NA(),MATCH($B30&amp;$C30,'Smelter Look-up'!$J:$J,0))</f>
        <v>128</v>
      </c>
      <c r="W30" s="276"/>
      <c r="X30" s="276">
        <f t="shared" ca="1" si="4"/>
        <v>0</v>
      </c>
      <c r="Y30" s="276"/>
      <c r="Z30" s="276"/>
      <c r="AB30" s="278" t="str">
        <f t="shared" ca="1" si="5"/>
        <v>GoldKojima Chemicals Co., Ltd.</v>
      </c>
    </row>
    <row r="31" spans="1:28" s="277" customFormat="1" ht="63.75">
      <c r="A31" s="216" t="s">
        <v>720</v>
      </c>
      <c r="B31" s="217" t="str">
        <f ca="1">IF(LEN(A31)=0,"",INDEX('Smelter Look-up'!$A:$A,MATCH($A31,'Smelter Look-up'!$E:$E,0)))</f>
        <v>Gold</v>
      </c>
      <c r="C31" s="221" t="str">
        <f ca="1">IF(LEN(A31)=0,"",INDEX('Smelter Look-up'!$C:$C,MATCH($A31,'Smelter Look-up'!$E:$E,0)))</f>
        <v>Matsuda Sangyo Co., Ltd.</v>
      </c>
      <c r="D31" s="283"/>
      <c r="E31" s="217" t="str">
        <f ca="1">IF(ISERROR($V31),"",OFFSET('Smelter Look-up'!$D$4,$V31-4,0)&amp;"")</f>
        <v>JAPAN</v>
      </c>
      <c r="F31" s="217" t="str">
        <f ca="1">IF(ISERROR($V31),"",OFFSET('Smelter Look-up'!$E$4,$V31-4,0))</f>
        <v>CID001119</v>
      </c>
      <c r="G31" s="217" t="str">
        <f ca="1">IF(C31=$X$4,"Enter smelter details",IF(ISERROR($V31),"",OFFSET('Smelter Look-up'!$F$4,$V31-4,0)))</f>
        <v>RMI</v>
      </c>
      <c r="H31" s="218">
        <f ca="1">IF(ISERROR($V31),"",OFFSET('Smelter Look-up'!$G$4,$V31-4,0))</f>
        <v>0</v>
      </c>
      <c r="I31" s="219" t="str">
        <f ca="1">IF(ISERROR($V31),"",OFFSET('Smelter Look-up'!$H$4,$V31-4,0))</f>
        <v>Iruma</v>
      </c>
      <c r="J31" s="219" t="str">
        <f ca="1">IF(ISERROR($V31),"",OFFSET('Smelter Look-up'!$I$4,$V31-4,0))</f>
        <v>Saitama</v>
      </c>
      <c r="K31" s="273"/>
      <c r="L31" s="273"/>
      <c r="M31" s="273"/>
      <c r="N31" s="273"/>
      <c r="O31" s="273"/>
      <c r="P31" s="220"/>
      <c r="Q31" s="274"/>
      <c r="R31" s="217" t="str">
        <f ca="1">IF(ISERROR($V31),"",OFFSET('Smelter Look-up'!$C$4,$V31-4,0)&amp;"")</f>
        <v>Matsuda Sangyo Co., Ltd.</v>
      </c>
      <c r="S31" s="225" t="str">
        <f t="shared" ca="1" si="3"/>
        <v>JP</v>
      </c>
      <c r="T31" s="225" t="str">
        <f ca="1">IF(B31="","",IF(ISERROR(MATCH($J31,SorP!$B$1:$B$6230,0)),"",INDIRECT("'SorP'!$A$"&amp;MATCH($J31,SorP!$B$1:$B$6230,0))))</f>
        <v>JP-11</v>
      </c>
      <c r="U31" s="241"/>
      <c r="V31" s="275">
        <f ca="1">IF(C31="",NA(),MATCH($B31&amp;$C31,'Smelter Look-up'!$J:$J,0))</f>
        <v>150</v>
      </c>
      <c r="W31" s="276"/>
      <c r="X31" s="276">
        <f t="shared" ca="1" si="4"/>
        <v>0</v>
      </c>
      <c r="Y31" s="276"/>
      <c r="Z31" s="276"/>
      <c r="AB31" s="278" t="str">
        <f t="shared" ca="1" si="5"/>
        <v>GoldMatsuda Sangyo Co., Ltd.</v>
      </c>
    </row>
    <row r="32" spans="1:28" s="277" customFormat="1" ht="89.25">
      <c r="A32" s="216" t="s">
        <v>725</v>
      </c>
      <c r="B32" s="217" t="str">
        <f ca="1">IF(LEN(A32)=0,"",INDEX('Smelter Look-up'!$A:$A,MATCH($A32,'Smelter Look-up'!$E:$E,0)))</f>
        <v>Gold</v>
      </c>
      <c r="C32" s="221" t="str">
        <f ca="1">IF(LEN(A32)=0,"",INDEX('Smelter Look-up'!$C:$C,MATCH($A32,'Smelter Look-up'!$E:$E,0)))</f>
        <v>Metalurgica Met-Mex Penoles S.A. De C.V.</v>
      </c>
      <c r="D32" s="283"/>
      <c r="E32" s="217" t="str">
        <f ca="1">IF(ISERROR($V32),"",OFFSET('Smelter Look-up'!$D$4,$V32-4,0)&amp;"")</f>
        <v>MEXICO</v>
      </c>
      <c r="F32" s="217" t="str">
        <f ca="1">IF(ISERROR($V32),"",OFFSET('Smelter Look-up'!$E$4,$V32-4,0))</f>
        <v>CID001161</v>
      </c>
      <c r="G32" s="217" t="str">
        <f ca="1">IF(C32=$X$4,"Enter smelter details",IF(ISERROR($V32),"",OFFSET('Smelter Look-up'!$F$4,$V32-4,0)))</f>
        <v>RMI</v>
      </c>
      <c r="H32" s="218">
        <f ca="1">IF(ISERROR($V32),"",OFFSET('Smelter Look-up'!$G$4,$V32-4,0))</f>
        <v>0</v>
      </c>
      <c r="I32" s="219" t="str">
        <f ca="1">IF(ISERROR($V32),"",OFFSET('Smelter Look-up'!$H$4,$V32-4,0))</f>
        <v>Torreon</v>
      </c>
      <c r="J32" s="219" t="str">
        <f ca="1">IF(ISERROR($V32),"",OFFSET('Smelter Look-up'!$I$4,$V32-4,0))</f>
        <v>Coahuila de Zaragoza</v>
      </c>
      <c r="K32" s="273"/>
      <c r="L32" s="273"/>
      <c r="M32" s="273"/>
      <c r="N32" s="273"/>
      <c r="O32" s="273"/>
      <c r="P32" s="220"/>
      <c r="Q32" s="274"/>
      <c r="R32" s="217" t="str">
        <f ca="1">IF(ISERROR($V32),"",OFFSET('Smelter Look-up'!$C$4,$V32-4,0)&amp;"")</f>
        <v>Metalurgica Met-Mex Penoles S.A. De C.V.</v>
      </c>
      <c r="S32" s="225" t="str">
        <f t="shared" ca="1" si="3"/>
        <v>MX</v>
      </c>
      <c r="T32" s="225" t="str">
        <f ca="1">IF(B32="","",IF(ISERROR(MATCH($J32,SorP!$B$1:$B$6230,0)),"",INDIRECT("'SorP'!$A$"&amp;MATCH($J32,SorP!$B$1:$B$6230,0))))</f>
        <v>MX-COA</v>
      </c>
      <c r="U32" s="241"/>
      <c r="V32" s="275">
        <f ca="1">IF(C32="",NA(),MATCH($B32&amp;$C32,'Smelter Look-up'!$J:$J,0))</f>
        <v>160</v>
      </c>
      <c r="W32" s="276"/>
      <c r="X32" s="276">
        <f t="shared" ca="1" si="4"/>
        <v>0</v>
      </c>
      <c r="Y32" s="276"/>
      <c r="Z32" s="276"/>
      <c r="AB32" s="278" t="str">
        <f t="shared" ca="1" si="5"/>
        <v>GoldMetalurgica Met-Mex Penoles S.A. De C.V.</v>
      </c>
    </row>
    <row r="33" spans="1:28" s="277" customFormat="1" ht="76.5">
      <c r="A33" s="216" t="s">
        <v>726</v>
      </c>
      <c r="B33" s="217" t="str">
        <f ca="1">IF(LEN(A33)=0,"",INDEX('Smelter Look-up'!$A:$A,MATCH($A33,'Smelter Look-up'!$E:$E,0)))</f>
        <v>Gold</v>
      </c>
      <c r="C33" s="221" t="str">
        <f ca="1">IF(LEN(A33)=0,"",INDEX('Smelter Look-up'!$C:$C,MATCH($A33,'Smelter Look-up'!$E:$E,0)))</f>
        <v>Mitsubishi Materials Corporation</v>
      </c>
      <c r="D33" s="283"/>
      <c r="E33" s="217" t="str">
        <f ca="1">IF(ISERROR($V33),"",OFFSET('Smelter Look-up'!$D$4,$V33-4,0)&amp;"")</f>
        <v>JAPAN</v>
      </c>
      <c r="F33" s="217" t="str">
        <f ca="1">IF(ISERROR($V33),"",OFFSET('Smelter Look-up'!$E$4,$V33-4,0))</f>
        <v>CID001188</v>
      </c>
      <c r="G33" s="217" t="str">
        <f ca="1">IF(C33=$X$4,"Enter smelter details",IF(ISERROR($V33),"",OFFSET('Smelter Look-up'!$F$4,$V33-4,0)))</f>
        <v>RMI</v>
      </c>
      <c r="H33" s="218">
        <f ca="1">IF(ISERROR($V33),"",OFFSET('Smelter Look-up'!$G$4,$V33-4,0))</f>
        <v>0</v>
      </c>
      <c r="I33" s="219" t="str">
        <f ca="1">IF(ISERROR($V33),"",OFFSET('Smelter Look-up'!$H$4,$V33-4,0))</f>
        <v>Naoshima</v>
      </c>
      <c r="J33" s="219" t="str">
        <f ca="1">IF(ISERROR($V33),"",OFFSET('Smelter Look-up'!$I$4,$V33-4,0))</f>
        <v>Kagawa</v>
      </c>
      <c r="K33" s="273"/>
      <c r="L33" s="273"/>
      <c r="M33" s="273"/>
      <c r="N33" s="273"/>
      <c r="O33" s="273"/>
      <c r="P33" s="220"/>
      <c r="Q33" s="274"/>
      <c r="R33" s="217" t="str">
        <f ca="1">IF(ISERROR($V33),"",OFFSET('Smelter Look-up'!$C$4,$V33-4,0)&amp;"")</f>
        <v>Mitsubishi Materials Corporation</v>
      </c>
      <c r="S33" s="225" t="str">
        <f t="shared" ca="1" si="3"/>
        <v>JP</v>
      </c>
      <c r="T33" s="225" t="str">
        <f ca="1">IF(B33="","",IF(ISERROR(MATCH($J33,SorP!$B$1:$B$6230,0)),"",INDIRECT("'SorP'!$A$"&amp;MATCH($J33,SorP!$B$1:$B$6230,0))))</f>
        <v>JP-37</v>
      </c>
      <c r="U33" s="241"/>
      <c r="V33" s="275">
        <f ca="1">IF(C33="",NA(),MATCH($B33&amp;$C33,'Smelter Look-up'!$J:$J,0))</f>
        <v>164</v>
      </c>
      <c r="W33" s="276"/>
      <c r="X33" s="276">
        <f t="shared" ca="1" si="4"/>
        <v>0</v>
      </c>
      <c r="Y33" s="276"/>
      <c r="Z33" s="276"/>
      <c r="AB33" s="278" t="str">
        <f t="shared" ca="1" si="5"/>
        <v>GoldMitsubishi Materials Corporation</v>
      </c>
    </row>
    <row r="34" spans="1:28" s="277" customFormat="1" ht="89.25">
      <c r="A34" s="216" t="s">
        <v>727</v>
      </c>
      <c r="B34" s="217" t="str">
        <f ca="1">IF(LEN(A34)=0,"",INDEX('Smelter Look-up'!$A:$A,MATCH($A34,'Smelter Look-up'!$E:$E,0)))</f>
        <v>Gold</v>
      </c>
      <c r="C34" s="221" t="str">
        <f ca="1">IF(LEN(A34)=0,"",INDEX('Smelter Look-up'!$C:$C,MATCH($A34,'Smelter Look-up'!$E:$E,0)))</f>
        <v>Mitsui Mining and Smelting Co., Ltd.</v>
      </c>
      <c r="D34" s="283"/>
      <c r="E34" s="217" t="str">
        <f ca="1">IF(ISERROR($V34),"",OFFSET('Smelter Look-up'!$D$4,$V34-4,0)&amp;"")</f>
        <v>JAPAN</v>
      </c>
      <c r="F34" s="217" t="str">
        <f ca="1">IF(ISERROR($V34),"",OFFSET('Smelter Look-up'!$E$4,$V34-4,0))</f>
        <v>CID001193</v>
      </c>
      <c r="G34" s="217" t="str">
        <f ca="1">IF(C34=$X$4,"Enter smelter details",IF(ISERROR($V34),"",OFFSET('Smelter Look-up'!$F$4,$V34-4,0)))</f>
        <v>RMI</v>
      </c>
      <c r="H34" s="218">
        <f ca="1">IF(ISERROR($V34),"",OFFSET('Smelter Look-up'!$G$4,$V34-4,0))</f>
        <v>0</v>
      </c>
      <c r="I34" s="219" t="str">
        <f ca="1">IF(ISERROR($V34),"",OFFSET('Smelter Look-up'!$H$4,$V34-4,0))</f>
        <v>Takehara</v>
      </c>
      <c r="J34" s="219" t="str">
        <f ca="1">IF(ISERROR($V34),"",OFFSET('Smelter Look-up'!$I$4,$V34-4,0))</f>
        <v>Hiroshima</v>
      </c>
      <c r="K34" s="273"/>
      <c r="L34" s="273"/>
      <c r="M34" s="273"/>
      <c r="N34" s="273"/>
      <c r="O34" s="273"/>
      <c r="P34" s="220"/>
      <c r="Q34" s="274"/>
      <c r="R34" s="217" t="str">
        <f ca="1">IF(ISERROR($V34),"",OFFSET('Smelter Look-up'!$C$4,$V34-4,0)&amp;"")</f>
        <v>Mitsui Mining and Smelting Co., Ltd.</v>
      </c>
      <c r="S34" s="225" t="str">
        <f t="shared" ca="1" si="3"/>
        <v>JP</v>
      </c>
      <c r="T34" s="225" t="str">
        <f ca="1">IF(B34="","",IF(ISERROR(MATCH($J34,SorP!$B$1:$B$6230,0)),"",INDIRECT("'SorP'!$A$"&amp;MATCH($J34,SorP!$B$1:$B$6230,0))))</f>
        <v>JP-34</v>
      </c>
      <c r="U34" s="241"/>
      <c r="V34" s="275">
        <f ca="1">IF(C34="",NA(),MATCH($B34&amp;$C34,'Smelter Look-up'!$J:$J,0))</f>
        <v>166</v>
      </c>
      <c r="W34" s="276"/>
      <c r="X34" s="276">
        <f t="shared" ca="1" si="4"/>
        <v>0</v>
      </c>
      <c r="Y34" s="276"/>
      <c r="Z34" s="276"/>
      <c r="AB34" s="278" t="str">
        <f t="shared" ca="1" si="5"/>
        <v>GoldMitsui Mining and Smelting Co., Ltd.</v>
      </c>
    </row>
    <row r="35" spans="1:28" s="277" customFormat="1" ht="63.75">
      <c r="A35" s="216" t="s">
        <v>731</v>
      </c>
      <c r="B35" s="217" t="str">
        <f ca="1">IF(LEN(A35)=0,"",INDEX('Smelter Look-up'!$A:$A,MATCH($A35,'Smelter Look-up'!$E:$E,0)))</f>
        <v>Gold</v>
      </c>
      <c r="C35" s="221" t="str">
        <f ca="1">IF(LEN(A35)=0,"",INDEX('Smelter Look-up'!$C:$C,MATCH($A35,'Smelter Look-up'!$E:$E,0)))</f>
        <v>Nihon Material Co., Ltd.</v>
      </c>
      <c r="D35" s="283"/>
      <c r="E35" s="217" t="str">
        <f ca="1">IF(ISERROR($V35),"",OFFSET('Smelter Look-up'!$D$4,$V35-4,0)&amp;"")</f>
        <v>JAPAN</v>
      </c>
      <c r="F35" s="217" t="str">
        <f ca="1">IF(ISERROR($V35),"",OFFSET('Smelter Look-up'!$E$4,$V35-4,0))</f>
        <v>CID001259</v>
      </c>
      <c r="G35" s="217" t="str">
        <f ca="1">IF(C35=$X$4,"Enter smelter details",IF(ISERROR($V35),"",OFFSET('Smelter Look-up'!$F$4,$V35-4,0)))</f>
        <v>RMI</v>
      </c>
      <c r="H35" s="218">
        <f ca="1">IF(ISERROR($V35),"",OFFSET('Smelter Look-up'!$G$4,$V35-4,0))</f>
        <v>0</v>
      </c>
      <c r="I35" s="219" t="str">
        <f ca="1">IF(ISERROR($V35),"",OFFSET('Smelter Look-up'!$H$4,$V35-4,0))</f>
        <v>Noda</v>
      </c>
      <c r="J35" s="219" t="str">
        <f ca="1">IF(ISERROR($V35),"",OFFSET('Smelter Look-up'!$I$4,$V35-4,0))</f>
        <v>Chiba</v>
      </c>
      <c r="K35" s="273"/>
      <c r="L35" s="273"/>
      <c r="M35" s="273"/>
      <c r="N35" s="273"/>
      <c r="O35" s="273"/>
      <c r="P35" s="220"/>
      <c r="Q35" s="274"/>
      <c r="R35" s="217" t="str">
        <f ca="1">IF(ISERROR($V35),"",OFFSET('Smelter Look-up'!$C$4,$V35-4,0)&amp;"")</f>
        <v>Nihon Material Co., Ltd.</v>
      </c>
      <c r="S35" s="225" t="str">
        <f t="shared" ca="1" si="3"/>
        <v>JP</v>
      </c>
      <c r="T35" s="225" t="str">
        <f ca="1">IF(B35="","",IF(ISERROR(MATCH($J35,SorP!$B$1:$B$6230,0)),"",INDIRECT("'SorP'!$A$"&amp;MATCH($J35,SorP!$B$1:$B$6230,0))))</f>
        <v>JP-12</v>
      </c>
      <c r="U35" s="241"/>
      <c r="V35" s="275">
        <f ca="1">IF(C35="",NA(),MATCH($B35&amp;$C35,'Smelter Look-up'!$J:$J,0))</f>
        <v>175</v>
      </c>
      <c r="W35" s="276"/>
      <c r="X35" s="276">
        <f t="shared" ca="1" si="4"/>
        <v>0</v>
      </c>
      <c r="Y35" s="276"/>
      <c r="Z35" s="276"/>
      <c r="AB35" s="278" t="str">
        <f t="shared" ca="1" si="5"/>
        <v>GoldNihon Material Co., Ltd.</v>
      </c>
    </row>
    <row r="36" spans="1:28" s="277" customFormat="1" ht="51">
      <c r="A36" s="216" t="s">
        <v>740</v>
      </c>
      <c r="B36" s="217" t="str">
        <f ca="1">IF(LEN(A36)=0,"",INDEX('Smelter Look-up'!$A:$A,MATCH($A36,'Smelter Look-up'!$E:$E,0)))</f>
        <v>Gold</v>
      </c>
      <c r="C36" s="221" t="str">
        <f ca="1">IF(LEN(A36)=0,"",INDEX('Smelter Look-up'!$C:$C,MATCH($A36,'Smelter Look-up'!$E:$E,0)))</f>
        <v>Royal Canadian Mint</v>
      </c>
      <c r="D36" s="283"/>
      <c r="E36" s="217" t="str">
        <f ca="1">IF(ISERROR($V36),"",OFFSET('Smelter Look-up'!$D$4,$V36-4,0)&amp;"")</f>
        <v>CANADA</v>
      </c>
      <c r="F36" s="217" t="str">
        <f ca="1">IF(ISERROR($V36),"",OFFSET('Smelter Look-up'!$E$4,$V36-4,0))</f>
        <v>CID001534</v>
      </c>
      <c r="G36" s="217" t="str">
        <f ca="1">IF(C36=$X$4,"Enter smelter details",IF(ISERROR($V36),"",OFFSET('Smelter Look-up'!$F$4,$V36-4,0)))</f>
        <v>RMI</v>
      </c>
      <c r="H36" s="218">
        <f ca="1">IF(ISERROR($V36),"",OFFSET('Smelter Look-up'!$G$4,$V36-4,0))</f>
        <v>0</v>
      </c>
      <c r="I36" s="219" t="str">
        <f ca="1">IF(ISERROR($V36),"",OFFSET('Smelter Look-up'!$H$4,$V36-4,0))</f>
        <v>Ottawa</v>
      </c>
      <c r="J36" s="219" t="str">
        <f ca="1">IF(ISERROR($V36),"",OFFSET('Smelter Look-up'!$I$4,$V36-4,0))</f>
        <v>Ontario</v>
      </c>
      <c r="K36" s="273"/>
      <c r="L36" s="273"/>
      <c r="M36" s="273"/>
      <c r="N36" s="273"/>
      <c r="O36" s="273"/>
      <c r="P36" s="220"/>
      <c r="Q36" s="274"/>
      <c r="R36" s="217" t="str">
        <f ca="1">IF(ISERROR($V36),"",OFFSET('Smelter Look-up'!$C$4,$V36-4,0)&amp;"")</f>
        <v>Royal Canadian Mint</v>
      </c>
      <c r="S36" s="225" t="str">
        <f t="shared" ca="1" si="3"/>
        <v>CA</v>
      </c>
      <c r="T36" s="225" t="str">
        <f ca="1">IF(B36="","",IF(ISERROR(MATCH($J36,SorP!$B$1:$B$6230,0)),"",INDIRECT("'SorP'!$A$"&amp;MATCH($J36,SorP!$B$1:$B$6230,0))))</f>
        <v>CA-ON</v>
      </c>
      <c r="U36" s="241"/>
      <c r="V36" s="275">
        <f ca="1">IF(C36="",NA(),MATCH($B36&amp;$C36,'Smelter Look-up'!$J:$J,0))</f>
        <v>202</v>
      </c>
      <c r="W36" s="276"/>
      <c r="X36" s="276">
        <f t="shared" ca="1" si="4"/>
        <v>0</v>
      </c>
      <c r="Y36" s="276"/>
      <c r="Z36" s="276"/>
      <c r="AB36" s="278" t="str">
        <f t="shared" ca="1" si="5"/>
        <v>GoldRoyal Canadian Mint</v>
      </c>
    </row>
    <row r="37" spans="1:28" s="277" customFormat="1" ht="76.5">
      <c r="A37" s="216" t="s">
        <v>747</v>
      </c>
      <c r="B37" s="217" t="str">
        <f ca="1">IF(LEN(A37)=0,"",INDEX('Smelter Look-up'!$A:$A,MATCH($A37,'Smelter Look-up'!$E:$E,0)))</f>
        <v>Gold</v>
      </c>
      <c r="C37" s="221" t="str">
        <f ca="1">IF(LEN(A37)=0,"",INDEX('Smelter Look-up'!$C:$C,MATCH($A37,'Smelter Look-up'!$E:$E,0)))</f>
        <v>Sumitomo Metal Mining Co., Ltd.</v>
      </c>
      <c r="D37" s="283"/>
      <c r="E37" s="217" t="str">
        <f ca="1">IF(ISERROR($V37),"",OFFSET('Smelter Look-up'!$D$4,$V37-4,0)&amp;"")</f>
        <v>JAPAN</v>
      </c>
      <c r="F37" s="217" t="str">
        <f ca="1">IF(ISERROR($V37),"",OFFSET('Smelter Look-up'!$E$4,$V37-4,0))</f>
        <v>CID001798</v>
      </c>
      <c r="G37" s="217" t="str">
        <f ca="1">IF(C37=$X$4,"Enter smelter details",IF(ISERROR($V37),"",OFFSET('Smelter Look-up'!$F$4,$V37-4,0)))</f>
        <v>RMI</v>
      </c>
      <c r="H37" s="218">
        <f ca="1">IF(ISERROR($V37),"",OFFSET('Smelter Look-up'!$G$4,$V37-4,0))</f>
        <v>0</v>
      </c>
      <c r="I37" s="219" t="str">
        <f ca="1">IF(ISERROR($V37),"",OFFSET('Smelter Look-up'!$H$4,$V37-4,0))</f>
        <v>Saijo</v>
      </c>
      <c r="J37" s="219" t="str">
        <f ca="1">IF(ISERROR($V37),"",OFFSET('Smelter Look-up'!$I$4,$V37-4,0))</f>
        <v>Ehime</v>
      </c>
      <c r="K37" s="273"/>
      <c r="L37" s="273"/>
      <c r="M37" s="273"/>
      <c r="N37" s="273"/>
      <c r="O37" s="273"/>
      <c r="P37" s="220"/>
      <c r="Q37" s="274"/>
      <c r="R37" s="217" t="str">
        <f ca="1">IF(ISERROR($V37),"",OFFSET('Smelter Look-up'!$C$4,$V37-4,0)&amp;"")</f>
        <v>Sumitomo Metal Mining Co., Ltd.</v>
      </c>
      <c r="S37" s="225" t="str">
        <f t="shared" ca="1" si="3"/>
        <v>JP</v>
      </c>
      <c r="T37" s="225" t="str">
        <f ca="1">IF(B37="","",IF(ISERROR(MATCH($J37,SorP!$B$1:$B$6230,0)),"",INDIRECT("'SorP'!$A$"&amp;MATCH($J37,SorP!$B$1:$B$6230,0))))</f>
        <v>JP-38</v>
      </c>
      <c r="U37" s="241"/>
      <c r="V37" s="275">
        <f ca="1">IF(C37="",NA(),MATCH($B37&amp;$C37,'Smelter Look-up'!$J:$J,0))</f>
        <v>240</v>
      </c>
      <c r="W37" s="276"/>
      <c r="X37" s="276">
        <f t="shared" ca="1" si="4"/>
        <v>0</v>
      </c>
      <c r="Y37" s="276"/>
      <c r="Z37" s="276"/>
      <c r="AB37" s="278" t="str">
        <f t="shared" ca="1" si="5"/>
        <v>GoldSumitomo Metal Mining Co., Ltd.</v>
      </c>
    </row>
    <row r="38" spans="1:28" s="277" customFormat="1" ht="63.75">
      <c r="A38" s="216" t="s">
        <v>751</v>
      </c>
      <c r="B38" s="217" t="str">
        <f ca="1">IF(LEN(A38)=0,"",INDEX('Smelter Look-up'!$A:$A,MATCH($A38,'Smelter Look-up'!$E:$E,0)))</f>
        <v>Gold</v>
      </c>
      <c r="C38" s="221" t="str">
        <f ca="1">IF(LEN(A38)=0,"",INDEX('Smelter Look-up'!$C:$C,MATCH($A38,'Smelter Look-up'!$E:$E,0)))</f>
        <v>Tokuriki Honten Co., Ltd.</v>
      </c>
      <c r="D38" s="283"/>
      <c r="E38" s="217" t="str">
        <f ca="1">IF(ISERROR($V38),"",OFFSET('Smelter Look-up'!$D$4,$V38-4,0)&amp;"")</f>
        <v>JAPAN</v>
      </c>
      <c r="F38" s="217" t="str">
        <f ca="1">IF(ISERROR($V38),"",OFFSET('Smelter Look-up'!$E$4,$V38-4,0))</f>
        <v>CID001938</v>
      </c>
      <c r="G38" s="217" t="str">
        <f ca="1">IF(C38=$X$4,"Enter smelter details",IF(ISERROR($V38),"",OFFSET('Smelter Look-up'!$F$4,$V38-4,0)))</f>
        <v>RMI</v>
      </c>
      <c r="H38" s="218">
        <f ca="1">IF(ISERROR($V38),"",OFFSET('Smelter Look-up'!$G$4,$V38-4,0))</f>
        <v>0</v>
      </c>
      <c r="I38" s="219" t="str">
        <f ca="1">IF(ISERROR($V38),"",OFFSET('Smelter Look-up'!$H$4,$V38-4,0))</f>
        <v>Kuki</v>
      </c>
      <c r="J38" s="219" t="str">
        <f ca="1">IF(ISERROR($V38),"",OFFSET('Smelter Look-up'!$I$4,$V38-4,0))</f>
        <v>Saitama</v>
      </c>
      <c r="K38" s="273"/>
      <c r="L38" s="273"/>
      <c r="M38" s="273"/>
      <c r="N38" s="273"/>
      <c r="O38" s="273"/>
      <c r="P38" s="220"/>
      <c r="Q38" s="274"/>
      <c r="R38" s="217" t="str">
        <f ca="1">IF(ISERROR($V38),"",OFFSET('Smelter Look-up'!$C$4,$V38-4,0)&amp;"")</f>
        <v>Tokuriki Honten Co., Ltd.</v>
      </c>
      <c r="S38" s="225" t="str">
        <f t="shared" ref="S38:S68" ca="1" si="6">IF(B38="","",IF(ISERROR(MATCH($E38,CL,0)),"Unknown",INDIRECT("'C'!$A$"&amp;MATCH($E38,CL,0)+1)))</f>
        <v>JP</v>
      </c>
      <c r="T38" s="225" t="str">
        <f ca="1">IF(B38="","",IF(ISERROR(MATCH($J38,SorP!$B$1:$B$6230,0)),"",INDIRECT("'SorP'!$A$"&amp;MATCH($J38,SorP!$B$1:$B$6230,0))))</f>
        <v>JP-11</v>
      </c>
      <c r="U38" s="241"/>
      <c r="V38" s="275">
        <f ca="1">IF(C38="",NA(),MATCH($B38&amp;$C38,'Smelter Look-up'!$J:$J,0))</f>
        <v>257</v>
      </c>
      <c r="W38" s="276"/>
      <c r="X38" s="276">
        <f t="shared" ref="X38:X68" ca="1" si="7">IF(AND(C38="Smelter not listed",OR(LEN(D38)=0,LEN(E38)=0)),1,0)</f>
        <v>0</v>
      </c>
      <c r="Y38" s="276"/>
      <c r="Z38" s="276"/>
      <c r="AB38" s="278" t="str">
        <f t="shared" ref="AB38:AB68" ca="1" si="8">B38&amp;C38</f>
        <v>GoldTokuriki Honten Co., Ltd.</v>
      </c>
    </row>
    <row r="39" spans="1:28" s="277" customFormat="1" ht="51">
      <c r="A39" s="216" t="s">
        <v>754</v>
      </c>
      <c r="B39" s="217" t="str">
        <f ca="1">IF(LEN(A39)=0,"",INDEX('Smelter Look-up'!$A:$A,MATCH($A39,'Smelter Look-up'!$E:$E,0)))</f>
        <v>Gold</v>
      </c>
      <c r="C39" s="221" t="str">
        <f ca="1">IF(LEN(A39)=0,"",INDEX('Smelter Look-up'!$C:$C,MATCH($A39,'Smelter Look-up'!$E:$E,0)))</f>
        <v>Umicore Brasil Ltda.</v>
      </c>
      <c r="D39" s="283"/>
      <c r="E39" s="217" t="str">
        <f ca="1">IF(ISERROR($V39),"",OFFSET('Smelter Look-up'!$D$4,$V39-4,0)&amp;"")</f>
        <v>BRAZIL</v>
      </c>
      <c r="F39" s="217" t="str">
        <f ca="1">IF(ISERROR($V39),"",OFFSET('Smelter Look-up'!$E$4,$V39-4,0))</f>
        <v>CID001977</v>
      </c>
      <c r="G39" s="217" t="str">
        <f ca="1">IF(C39=$X$4,"Enter smelter details",IF(ISERROR($V39),"",OFFSET('Smelter Look-up'!$F$4,$V39-4,0)))</f>
        <v>RMI</v>
      </c>
      <c r="H39" s="218">
        <f ca="1">IF(ISERROR($V39),"",OFFSET('Smelter Look-up'!$G$4,$V39-4,0))</f>
        <v>0</v>
      </c>
      <c r="I39" s="219" t="str">
        <f ca="1">IF(ISERROR($V39),"",OFFSET('Smelter Look-up'!$H$4,$V39-4,0))</f>
        <v>Guarulhos</v>
      </c>
      <c r="J39" s="219" t="str">
        <f ca="1">IF(ISERROR($V39),"",OFFSET('Smelter Look-up'!$I$4,$V39-4,0))</f>
        <v>São Paulo</v>
      </c>
      <c r="K39" s="273"/>
      <c r="L39" s="273"/>
      <c r="M39" s="273"/>
      <c r="N39" s="273"/>
      <c r="O39" s="273"/>
      <c r="P39" s="220"/>
      <c r="Q39" s="274"/>
      <c r="R39" s="217" t="str">
        <f ca="1">IF(ISERROR($V39),"",OFFSET('Smelter Look-up'!$C$4,$V39-4,0)&amp;"")</f>
        <v>Umicore Brasil Ltda.</v>
      </c>
      <c r="S39" s="225" t="str">
        <f t="shared" ca="1" si="6"/>
        <v>BR</v>
      </c>
      <c r="T39" s="225" t="str">
        <f ca="1">IF(B39="","",IF(ISERROR(MATCH($J39,SorP!$B$1:$B$6230,0)),"",INDIRECT("'SorP'!$A$"&amp;MATCH($J39,SorP!$B$1:$B$6230,0))))</f>
        <v>BR-SP</v>
      </c>
      <c r="U39" s="241"/>
      <c r="V39" s="275">
        <f ca="1">IF(C39="",NA(),MATCH($B39&amp;$C39,'Smelter Look-up'!$J:$J,0))</f>
        <v>264</v>
      </c>
      <c r="W39" s="276"/>
      <c r="X39" s="276">
        <f t="shared" ca="1" si="7"/>
        <v>0</v>
      </c>
      <c r="Y39" s="276"/>
      <c r="Z39" s="276"/>
      <c r="AB39" s="278" t="str">
        <f t="shared" ca="1" si="8"/>
        <v>GoldUmicore Brasil Ltda.</v>
      </c>
    </row>
    <row r="40" spans="1:28" s="277" customFormat="1" ht="102">
      <c r="A40" s="216" t="s">
        <v>813</v>
      </c>
      <c r="B40" s="217" t="str">
        <f ca="1">IF(LEN(A40)=0,"",INDEX('Smelter Look-up'!$A:$A,MATCH($A40,'Smelter Look-up'!$E:$E,0)))</f>
        <v>Tungsten</v>
      </c>
      <c r="C40" s="221" t="str">
        <f ca="1">IF(LEN(A40)=0,"",INDEX('Smelter Look-up'!$C:$C,MATCH($A40,'Smelter Look-up'!$E:$E,0)))</f>
        <v>Chongyi Zhangyuan Tungsten Co., Ltd.</v>
      </c>
      <c r="D40" s="283"/>
      <c r="E40" s="217" t="str">
        <f ca="1">IF(ISERROR($V40),"",OFFSET('Smelter Look-up'!$D$4,$V40-4,0)&amp;"")</f>
        <v>CHINA</v>
      </c>
      <c r="F40" s="217" t="str">
        <f ca="1">IF(ISERROR($V40),"",OFFSET('Smelter Look-up'!$E$4,$V40-4,0))</f>
        <v>CID000258</v>
      </c>
      <c r="G40" s="217" t="str">
        <f ca="1">IF(C40=$X$4,"Enter smelter details",IF(ISERROR($V40),"",OFFSET('Smelter Look-up'!$F$4,$V40-4,0)))</f>
        <v>RMI</v>
      </c>
      <c r="H40" s="218">
        <f ca="1">IF(ISERROR($V40),"",OFFSET('Smelter Look-up'!$G$4,$V40-4,0))</f>
        <v>0</v>
      </c>
      <c r="I40" s="219" t="str">
        <f ca="1">IF(ISERROR($V40),"",OFFSET('Smelter Look-up'!$H$4,$V40-4,0))</f>
        <v>Ganzhou</v>
      </c>
      <c r="J40" s="219" t="str">
        <f ca="1">IF(ISERROR($V40),"",OFFSET('Smelter Look-up'!$I$4,$V40-4,0))</f>
        <v>Jiangxi Sheng</v>
      </c>
      <c r="K40" s="273"/>
      <c r="L40" s="273"/>
      <c r="M40" s="273"/>
      <c r="N40" s="273"/>
      <c r="O40" s="273"/>
      <c r="P40" s="220"/>
      <c r="Q40" s="274"/>
      <c r="R40" s="217" t="str">
        <f ca="1">IF(ISERROR($V40),"",OFFSET('Smelter Look-up'!$C$4,$V40-4,0)&amp;"")</f>
        <v>Chongyi Zhangyuan Tungsten Co., Ltd.</v>
      </c>
      <c r="S40" s="225" t="str">
        <f t="shared" ca="1" si="6"/>
        <v>CN</v>
      </c>
      <c r="T40" s="225" t="str">
        <f ca="1">IF(B40="","",IF(ISERROR(MATCH($J40,SorP!$B$1:$B$6230,0)),"",INDIRECT("'SorP'!$A$"&amp;MATCH($J40,SorP!$B$1:$B$6230,0))))</f>
        <v>CN-JX</v>
      </c>
      <c r="U40" s="241"/>
      <c r="V40" s="275">
        <f ca="1">IF(C40="",NA(),MATCH($B40&amp;$C40,'Smelter Look-up'!$J:$J,0))</f>
        <v>501</v>
      </c>
      <c r="W40" s="276"/>
      <c r="X40" s="276">
        <f t="shared" ca="1" si="7"/>
        <v>0</v>
      </c>
      <c r="Y40" s="276"/>
      <c r="Z40" s="276"/>
      <c r="AB40" s="278" t="str">
        <f t="shared" ca="1" si="8"/>
        <v>TungstenChongyi Zhangyuan Tungsten Co., Ltd.</v>
      </c>
    </row>
    <row r="41" spans="1:28" s="277" customFormat="1" ht="76.5">
      <c r="A41" s="216" t="s">
        <v>818</v>
      </c>
      <c r="B41" s="217" t="str">
        <f ca="1">IF(LEN(A41)=0,"",INDEX('Smelter Look-up'!$A:$A,MATCH($A41,'Smelter Look-up'!$E:$E,0)))</f>
        <v>Tungsten</v>
      </c>
      <c r="C41" s="221" t="str">
        <f ca="1">IF(LEN(A41)=0,"",INDEX('Smelter Look-up'!$C:$C,MATCH($A41,'Smelter Look-up'!$E:$E,0)))</f>
        <v>Japan New Metals Co., Ltd.</v>
      </c>
      <c r="D41" s="283"/>
      <c r="E41" s="217" t="str">
        <f ca="1">IF(ISERROR($V41),"",OFFSET('Smelter Look-up'!$D$4,$V41-4,0)&amp;"")</f>
        <v>JAPAN</v>
      </c>
      <c r="F41" s="217" t="str">
        <f ca="1">IF(ISERROR($V41),"",OFFSET('Smelter Look-up'!$E$4,$V41-4,0))</f>
        <v>CID000825</v>
      </c>
      <c r="G41" s="217" t="str">
        <f ca="1">IF(C41=$X$4,"Enter smelter details",IF(ISERROR($V41),"",OFFSET('Smelter Look-up'!$F$4,$V41-4,0)))</f>
        <v>RMI</v>
      </c>
      <c r="H41" s="218">
        <f ca="1">IF(ISERROR($V41),"",OFFSET('Smelter Look-up'!$G$4,$V41-4,0))</f>
        <v>0</v>
      </c>
      <c r="I41" s="219" t="str">
        <f ca="1">IF(ISERROR($V41),"",OFFSET('Smelter Look-up'!$H$4,$V41-4,0))</f>
        <v>Akita City</v>
      </c>
      <c r="J41" s="219" t="str">
        <f ca="1">IF(ISERROR($V41),"",OFFSET('Smelter Look-up'!$I$4,$V41-4,0))</f>
        <v>Akita</v>
      </c>
      <c r="K41" s="273"/>
      <c r="L41" s="273"/>
      <c r="M41" s="273"/>
      <c r="N41" s="273"/>
      <c r="O41" s="273"/>
      <c r="P41" s="220"/>
      <c r="Q41" s="274"/>
      <c r="R41" s="217" t="str">
        <f ca="1">IF(ISERROR($V41),"",OFFSET('Smelter Look-up'!$C$4,$V41-4,0)&amp;"")</f>
        <v>Japan New Metals Co., Ltd.</v>
      </c>
      <c r="S41" s="225" t="str">
        <f t="shared" ca="1" si="6"/>
        <v>JP</v>
      </c>
      <c r="T41" s="225" t="str">
        <f ca="1">IF(B41="","",IF(ISERROR(MATCH($J41,SorP!$B$1:$B$6230,0)),"",INDIRECT("'SorP'!$A$"&amp;MATCH($J41,SorP!$B$1:$B$6230,0))))</f>
        <v>JP-05</v>
      </c>
      <c r="U41" s="241"/>
      <c r="V41" s="275">
        <f ca="1">IF(C41="",NA(),MATCH($B41&amp;$C41,'Smelter Look-up'!$J:$J,0))</f>
        <v>525</v>
      </c>
      <c r="W41" s="276"/>
      <c r="X41" s="276">
        <f t="shared" ca="1" si="7"/>
        <v>0</v>
      </c>
      <c r="Y41" s="276"/>
      <c r="Z41" s="276"/>
      <c r="AB41" s="278" t="str">
        <f t="shared" ca="1" si="8"/>
        <v>TungstenJapan New Metals Co., Ltd.</v>
      </c>
    </row>
    <row r="42" spans="1:28" s="277" customFormat="1" ht="114.75">
      <c r="A42" s="216" t="s">
        <v>819</v>
      </c>
      <c r="B42" s="217" t="str">
        <f ca="1">IF(LEN(A42)=0,"",INDEX('Smelter Look-up'!$A:$A,MATCH($A42,'Smelter Look-up'!$E:$E,0)))</f>
        <v>Tungsten</v>
      </c>
      <c r="C42" s="221" t="str">
        <f ca="1">IF(LEN(A42)=0,"",INDEX('Smelter Look-up'!$C:$C,MATCH($A42,'Smelter Look-up'!$E:$E,0)))</f>
        <v>Ganzhou Huaxing Tungsten Products Co., Ltd.</v>
      </c>
      <c r="D42" s="283"/>
      <c r="E42" s="217" t="str">
        <f ca="1">IF(ISERROR($V42),"",OFFSET('Smelter Look-up'!$D$4,$V42-4,0)&amp;"")</f>
        <v>CHINA</v>
      </c>
      <c r="F42" s="217" t="str">
        <f ca="1">IF(ISERROR($V42),"",OFFSET('Smelter Look-up'!$E$4,$V42-4,0))</f>
        <v>CID000875</v>
      </c>
      <c r="G42" s="217" t="str">
        <f ca="1">IF(C42=$X$4,"Enter smelter details",IF(ISERROR($V42),"",OFFSET('Smelter Look-up'!$F$4,$V42-4,0)))</f>
        <v>RMI</v>
      </c>
      <c r="H42" s="218">
        <f ca="1">IF(ISERROR($V42),"",OFFSET('Smelter Look-up'!$G$4,$V42-4,0))</f>
        <v>0</v>
      </c>
      <c r="I42" s="219" t="str">
        <f ca="1">IF(ISERROR($V42),"",OFFSET('Smelter Look-up'!$H$4,$V42-4,0))</f>
        <v>Ganzhou</v>
      </c>
      <c r="J42" s="219" t="str">
        <f ca="1">IF(ISERROR($V42),"",OFFSET('Smelter Look-up'!$I$4,$V42-4,0))</f>
        <v>Jiangxi Sheng</v>
      </c>
      <c r="K42" s="273"/>
      <c r="L42" s="273"/>
      <c r="M42" s="273"/>
      <c r="N42" s="273"/>
      <c r="O42" s="273"/>
      <c r="P42" s="220"/>
      <c r="Q42" s="274"/>
      <c r="R42" s="217" t="str">
        <f ca="1">IF(ISERROR($V42),"",OFFSET('Smelter Look-up'!$C$4,$V42-4,0)&amp;"")</f>
        <v>Ganzhou Huaxing Tungsten Products Co., Ltd.</v>
      </c>
      <c r="S42" s="225" t="str">
        <f t="shared" ca="1" si="6"/>
        <v>CN</v>
      </c>
      <c r="T42" s="225" t="str">
        <f ca="1">IF(B42="","",IF(ISERROR(MATCH($J42,SorP!$B$1:$B$6230,0)),"",INDIRECT("'SorP'!$A$"&amp;MATCH($J42,SorP!$B$1:$B$6230,0))))</f>
        <v>CN-JX</v>
      </c>
      <c r="U42" s="241"/>
      <c r="V42" s="275">
        <f ca="1">IF(C42="",NA(),MATCH($B42&amp;$C42,'Smelter Look-up'!$J:$J,0))</f>
        <v>508</v>
      </c>
      <c r="W42" s="276"/>
      <c r="X42" s="276">
        <f t="shared" ca="1" si="7"/>
        <v>0</v>
      </c>
      <c r="Y42" s="276"/>
      <c r="Z42" s="276"/>
      <c r="AB42" s="278" t="str">
        <f t="shared" ca="1" si="8"/>
        <v>TungstenGanzhou Huaxing Tungsten Products Co., Ltd.</v>
      </c>
    </row>
    <row r="43" spans="1:28" s="277" customFormat="1" ht="63.75">
      <c r="A43" s="216" t="s">
        <v>823</v>
      </c>
      <c r="B43" s="217" t="str">
        <f ca="1">IF(LEN(A43)=0,"",INDEX('Smelter Look-up'!$A:$A,MATCH($A43,'Smelter Look-up'!$E:$E,0)))</f>
        <v>Tungsten</v>
      </c>
      <c r="C43" s="221" t="str">
        <f ca="1">IF(LEN(A43)=0,"",INDEX('Smelter Look-up'!$C:$C,MATCH($A43,'Smelter Look-up'!$E:$E,0)))</f>
        <v>Xiamen Tungsten Co., Ltd.</v>
      </c>
      <c r="D43" s="283"/>
      <c r="E43" s="217" t="str">
        <f ca="1">IF(ISERROR($V43),"",OFFSET('Smelter Look-up'!$D$4,$V43-4,0)&amp;"")</f>
        <v>CHINA</v>
      </c>
      <c r="F43" s="217" t="str">
        <f ca="1">IF(ISERROR($V43),"",OFFSET('Smelter Look-up'!$E$4,$V43-4,0))</f>
        <v>CID002082</v>
      </c>
      <c r="G43" s="217" t="str">
        <f ca="1">IF(C43=$X$4,"Enter smelter details",IF(ISERROR($V43),"",OFFSET('Smelter Look-up'!$F$4,$V43-4,0)))</f>
        <v>RMI</v>
      </c>
      <c r="H43" s="218">
        <f ca="1">IF(ISERROR($V43),"",OFFSET('Smelter Look-up'!$G$4,$V43-4,0))</f>
        <v>0</v>
      </c>
      <c r="I43" s="219" t="str">
        <f ca="1">IF(ISERROR($V43),"",OFFSET('Smelter Look-up'!$H$4,$V43-4,0))</f>
        <v>Xiamen</v>
      </c>
      <c r="J43" s="219" t="str">
        <f ca="1">IF(ISERROR($V43),"",OFFSET('Smelter Look-up'!$I$4,$V43-4,0))</f>
        <v>Fujian Sheng</v>
      </c>
      <c r="K43" s="273"/>
      <c r="L43" s="273"/>
      <c r="M43" s="273"/>
      <c r="N43" s="273"/>
      <c r="O43" s="273"/>
      <c r="P43" s="220"/>
      <c r="Q43" s="274"/>
      <c r="R43" s="217" t="str">
        <f ca="1">IF(ISERROR($V43),"",OFFSET('Smelter Look-up'!$C$4,$V43-4,0)&amp;"")</f>
        <v>Xiamen Tungsten Co., Ltd.</v>
      </c>
      <c r="S43" s="225" t="str">
        <f t="shared" ca="1" si="6"/>
        <v>CN</v>
      </c>
      <c r="T43" s="225" t="str">
        <f ca="1">IF(B43="","",IF(ISERROR(MATCH($J43,SorP!$B$1:$B$6230,0)),"",INDIRECT("'SorP'!$A$"&amp;MATCH($J43,SorP!$B$1:$B$6230,0))))</f>
        <v>CN-FJ</v>
      </c>
      <c r="U43" s="241"/>
      <c r="V43" s="275">
        <f ca="1">IF(C43="",NA(),MATCH($B43&amp;$C43,'Smelter Look-up'!$J:$J,0))</f>
        <v>558</v>
      </c>
      <c r="W43" s="276"/>
      <c r="X43" s="276">
        <f t="shared" ca="1" si="7"/>
        <v>0</v>
      </c>
      <c r="Y43" s="276"/>
      <c r="Z43" s="276"/>
      <c r="AB43" s="278" t="str">
        <f t="shared" ca="1" si="8"/>
        <v>TungstenXiamen Tungsten Co., Ltd.</v>
      </c>
    </row>
    <row r="44" spans="1:28" s="277" customFormat="1" ht="76.5">
      <c r="A44" s="216" t="s">
        <v>148</v>
      </c>
      <c r="B44" s="217" t="str">
        <f ca="1">IF(LEN(A44)=0,"",INDEX('Smelter Look-up'!$A:$A,MATCH($A44,'Smelter Look-up'!$E:$E,0)))</f>
        <v>Tungsten</v>
      </c>
      <c r="C44" s="221" t="str">
        <f ca="1">IF(LEN(A44)=0,"",INDEX('Smelter Look-up'!$C:$C,MATCH($A44,'Smelter Look-up'!$E:$E,0)))</f>
        <v>Xiamen Tungsten (H.C.) Co., Ltd.</v>
      </c>
      <c r="D44" s="283"/>
      <c r="E44" s="217" t="str">
        <f ca="1">IF(ISERROR($V44),"",OFFSET('Smelter Look-up'!$D$4,$V44-4,0)&amp;"")</f>
        <v>CHINA</v>
      </c>
      <c r="F44" s="217" t="str">
        <f ca="1">IF(ISERROR($V44),"",OFFSET('Smelter Look-up'!$E$4,$V44-4,0))</f>
        <v>CID002320</v>
      </c>
      <c r="G44" s="217" t="str">
        <f ca="1">IF(C44=$X$4,"Enter smelter details",IF(ISERROR($V44),"",OFFSET('Smelter Look-up'!$F$4,$V44-4,0)))</f>
        <v>RMI</v>
      </c>
      <c r="H44" s="218">
        <f ca="1">IF(ISERROR($V44),"",OFFSET('Smelter Look-up'!$G$4,$V44-4,0))</f>
        <v>0</v>
      </c>
      <c r="I44" s="219" t="str">
        <f ca="1">IF(ISERROR($V44),"",OFFSET('Smelter Look-up'!$H$4,$V44-4,0))</f>
        <v>Xiamen</v>
      </c>
      <c r="J44" s="219" t="str">
        <f ca="1">IF(ISERROR($V44),"",OFFSET('Smelter Look-up'!$I$4,$V44-4,0))</f>
        <v>Fujian Sheng</v>
      </c>
      <c r="K44" s="273"/>
      <c r="L44" s="273"/>
      <c r="M44" s="273"/>
      <c r="N44" s="273"/>
      <c r="O44" s="273"/>
      <c r="P44" s="220"/>
      <c r="Q44" s="274"/>
      <c r="R44" s="217" t="str">
        <f ca="1">IF(ISERROR($V44),"",OFFSET('Smelter Look-up'!$C$4,$V44-4,0)&amp;"")</f>
        <v>Xiamen Tungsten (H.C.) Co., Ltd.</v>
      </c>
      <c r="S44" s="225" t="str">
        <f t="shared" ca="1" si="6"/>
        <v>CN</v>
      </c>
      <c r="T44" s="225" t="str">
        <f ca="1">IF(B44="","",IF(ISERROR(MATCH($J44,SorP!$B$1:$B$6230,0)),"",INDIRECT("'SorP'!$A$"&amp;MATCH($J44,SorP!$B$1:$B$6230,0))))</f>
        <v>CN-FJ</v>
      </c>
      <c r="U44" s="241"/>
      <c r="V44" s="275">
        <f ca="1">IF(C44="",NA(),MATCH($B44&amp;$C44,'Smelter Look-up'!$J:$J,0))</f>
        <v>557</v>
      </c>
      <c r="W44" s="276"/>
      <c r="X44" s="276">
        <f t="shared" ca="1" si="7"/>
        <v>0</v>
      </c>
      <c r="Y44" s="276"/>
      <c r="Z44" s="276"/>
      <c r="AB44" s="278" t="str">
        <f t="shared" ca="1" si="8"/>
        <v>TungstenXiamen Tungsten (H.C.) Co., Ltd.</v>
      </c>
    </row>
    <row r="45" spans="1:28" s="277" customFormat="1" ht="51">
      <c r="A45" s="216" t="s">
        <v>800</v>
      </c>
      <c r="B45" s="217" t="str">
        <f ca="1">IF(LEN(A45)=0,"",INDEX('Smelter Look-up'!$A:$A,MATCH($A45,'Smelter Look-up'!$E:$E,0)))</f>
        <v>Tin</v>
      </c>
      <c r="C45" s="221" t="str">
        <f ca="1">IF(LEN(A45)=0,"",INDEX('Smelter Look-up'!$C:$C,MATCH($A45,'Smelter Look-up'!$E:$E,0)))</f>
        <v>PT Mitra Stania Prima</v>
      </c>
      <c r="D45" s="283"/>
      <c r="E45" s="217" t="str">
        <f ca="1">IF(ISERROR($V45),"",OFFSET('Smelter Look-up'!$D$4,$V45-4,0)&amp;"")</f>
        <v>INDONESIA</v>
      </c>
      <c r="F45" s="217" t="str">
        <f ca="1">IF(ISERROR($V45),"",OFFSET('Smelter Look-up'!$E$4,$V45-4,0))</f>
        <v>CID001453</v>
      </c>
      <c r="G45" s="217" t="str">
        <f ca="1">IF(C45=$X$4,"Enter smelter details",IF(ISERROR($V45),"",OFFSET('Smelter Look-up'!$F$4,$V45-4,0)))</f>
        <v>RMI</v>
      </c>
      <c r="H45" s="218">
        <f ca="1">IF(ISERROR($V45),"",OFFSET('Smelter Look-up'!$G$4,$V45-4,0))</f>
        <v>0</v>
      </c>
      <c r="I45" s="219" t="str">
        <f ca="1">IF(ISERROR($V45),"",OFFSET('Smelter Look-up'!$H$4,$V45-4,0))</f>
        <v>Sungailiat</v>
      </c>
      <c r="J45" s="219" t="str">
        <f ca="1">IF(ISERROR($V45),"",OFFSET('Smelter Look-up'!$I$4,$V45-4,0))</f>
        <v>Kepulauan Bangka Belitung</v>
      </c>
      <c r="K45" s="273"/>
      <c r="L45" s="273"/>
      <c r="M45" s="273"/>
      <c r="N45" s="273"/>
      <c r="O45" s="273"/>
      <c r="P45" s="220"/>
      <c r="Q45" s="274"/>
      <c r="R45" s="217" t="str">
        <f ca="1">IF(ISERROR($V45),"",OFFSET('Smelter Look-up'!$C$4,$V45-4,0)&amp;"")</f>
        <v>PT Mitra Stania Prima</v>
      </c>
      <c r="S45" s="225" t="str">
        <f t="shared" ca="1" si="6"/>
        <v>ID</v>
      </c>
      <c r="T45" s="225" t="str">
        <f ca="1">IF(B45="","",IF(ISERROR(MATCH($J45,SorP!$B$1:$B$6230,0)),"",INDIRECT("'SorP'!$A$"&amp;MATCH($J45,SorP!$B$1:$B$6230,0))))</f>
        <v>ID-BB</v>
      </c>
      <c r="U45" s="241"/>
      <c r="V45" s="275">
        <f ca="1">IF(C45="",NA(),MATCH($B45&amp;$C45,'Smelter Look-up'!$J:$J,0))</f>
        <v>441</v>
      </c>
      <c r="W45" s="276"/>
      <c r="X45" s="276">
        <f t="shared" ca="1" si="7"/>
        <v>0</v>
      </c>
      <c r="Y45" s="276"/>
      <c r="Z45" s="276"/>
      <c r="AB45" s="278" t="str">
        <f t="shared" ca="1" si="8"/>
        <v>TinPT Mitra Stania Prima</v>
      </c>
    </row>
    <row r="46" spans="1:28" s="277" customFormat="1" ht="76.5">
      <c r="A46" s="216" t="s">
        <v>807</v>
      </c>
      <c r="B46" s="217" t="str">
        <f ca="1">IF(LEN(A46)=0,"",INDEX('Smelter Look-up'!$A:$A,MATCH($A46,'Smelter Look-up'!$E:$E,0)))</f>
        <v>Tin</v>
      </c>
      <c r="C46" s="221" t="str">
        <f ca="1">IF(LEN(A46)=0,"",INDEX('Smelter Look-up'!$C:$C,MATCH($A46,'Smelter Look-up'!$E:$E,0)))</f>
        <v>White Solder Metalurgia e Mineracao Ltda.</v>
      </c>
      <c r="D46" s="283"/>
      <c r="E46" s="217" t="str">
        <f ca="1">IF(ISERROR($V46),"",OFFSET('Smelter Look-up'!$D$4,$V46-4,0)&amp;"")</f>
        <v>BRAZIL</v>
      </c>
      <c r="F46" s="217" t="str">
        <f ca="1">IF(ISERROR($V46),"",OFFSET('Smelter Look-up'!$E$4,$V46-4,0))</f>
        <v>CID002036</v>
      </c>
      <c r="G46" s="217" t="str">
        <f ca="1">IF(C46=$X$4,"Enter smelter details",IF(ISERROR($V46),"",OFFSET('Smelter Look-up'!$F$4,$V46-4,0)))</f>
        <v>RMI</v>
      </c>
      <c r="H46" s="218">
        <f ca="1">IF(ISERROR($V46),"",OFFSET('Smelter Look-up'!$G$4,$V46-4,0))</f>
        <v>0</v>
      </c>
      <c r="I46" s="219" t="str">
        <f ca="1">IF(ISERROR($V46),"",OFFSET('Smelter Look-up'!$H$4,$V46-4,0))</f>
        <v>Ariquemes</v>
      </c>
      <c r="J46" s="219" t="str">
        <f ca="1">IF(ISERROR($V46),"",OFFSET('Smelter Look-up'!$I$4,$V46-4,0))</f>
        <v>Rondônia</v>
      </c>
      <c r="K46" s="273"/>
      <c r="L46" s="273"/>
      <c r="M46" s="273"/>
      <c r="N46" s="273"/>
      <c r="O46" s="273"/>
      <c r="P46" s="220"/>
      <c r="Q46" s="274"/>
      <c r="R46" s="217" t="str">
        <f ca="1">IF(ISERROR($V46),"",OFFSET('Smelter Look-up'!$C$4,$V46-4,0)&amp;"")</f>
        <v>White Solder Metalurgia e Mineracao Ltda.</v>
      </c>
      <c r="S46" s="225" t="str">
        <f t="shared" ca="1" si="6"/>
        <v>BR</v>
      </c>
      <c r="T46" s="225" t="str">
        <f ca="1">IF(B46="","",IF(ISERROR(MATCH($J46,SorP!$B$1:$B$6230,0)),"",INDIRECT("'SorP'!$A$"&amp;MATCH($J46,SorP!$B$1:$B$6230,0))))</f>
        <v>BR-RO</v>
      </c>
      <c r="U46" s="241"/>
      <c r="V46" s="275">
        <f ca="1">IF(C46="",NA(),MATCH($B46&amp;$C46,'Smelter Look-up'!$J:$J,0))</f>
        <v>465</v>
      </c>
      <c r="W46" s="276"/>
      <c r="X46" s="276">
        <f t="shared" ca="1" si="7"/>
        <v>0</v>
      </c>
      <c r="Y46" s="276"/>
      <c r="Z46" s="276"/>
      <c r="AB46" s="278" t="str">
        <f t="shared" ca="1" si="8"/>
        <v>TinWhite Solder Metalurgia e Mineracao Ltda.</v>
      </c>
    </row>
    <row r="47" spans="1:28" s="277" customFormat="1" ht="25.5">
      <c r="A47" s="216" t="s">
        <v>804</v>
      </c>
      <c r="B47" s="217" t="str">
        <f ca="1">IF(LEN(A47)=0,"",INDEX('Smelter Look-up'!$A:$A,MATCH($A47,'Smelter Look-up'!$E:$E,0)))</f>
        <v>Tin</v>
      </c>
      <c r="C47" s="221" t="str">
        <f ca="1">IF(LEN(A47)=0,"",INDEX('Smelter Look-up'!$C:$C,MATCH($A47,'Smelter Look-up'!$E:$E,0)))</f>
        <v>Rui Da Hung</v>
      </c>
      <c r="D47" s="283"/>
      <c r="E47" s="217" t="str">
        <f ca="1">IF(ISERROR($V47),"",OFFSET('Smelter Look-up'!$D$4,$V47-4,0)&amp;"")</f>
        <v>TAIWAN, PROVINCE OF CHINA</v>
      </c>
      <c r="F47" s="217" t="str">
        <f ca="1">IF(ISERROR($V47),"",OFFSET('Smelter Look-up'!$E$4,$V47-4,0))</f>
        <v>CID001539</v>
      </c>
      <c r="G47" s="217" t="str">
        <f ca="1">IF(C47=$X$4,"Enter smelter details",IF(ISERROR($V47),"",OFFSET('Smelter Look-up'!$F$4,$V47-4,0)))</f>
        <v>RMI</v>
      </c>
      <c r="H47" s="218">
        <f ca="1">IF(ISERROR($V47),"",OFFSET('Smelter Look-up'!$G$4,$V47-4,0))</f>
        <v>0</v>
      </c>
      <c r="I47" s="219" t="str">
        <f ca="1">IF(ISERROR($V47),"",OFFSET('Smelter Look-up'!$H$4,$V47-4,0))</f>
        <v>Longtan Shiang Taoyuan</v>
      </c>
      <c r="J47" s="219" t="str">
        <f ca="1">IF(ISERROR($V47),"",OFFSET('Smelter Look-up'!$I$4,$V47-4,0))</f>
        <v>Taoyuan</v>
      </c>
      <c r="K47" s="273"/>
      <c r="L47" s="273"/>
      <c r="M47" s="273"/>
      <c r="N47" s="273"/>
      <c r="O47" s="273"/>
      <c r="P47" s="220"/>
      <c r="Q47" s="274"/>
      <c r="R47" s="217" t="str">
        <f ca="1">IF(ISERROR($V47),"",OFFSET('Smelter Look-up'!$C$4,$V47-4,0)&amp;"")</f>
        <v>Rui Da Hung</v>
      </c>
      <c r="S47" s="225" t="str">
        <f t="shared" ca="1" si="6"/>
        <v>TW</v>
      </c>
      <c r="T47" s="225" t="str">
        <f ca="1">IF(B47="","",IF(ISERROR(MATCH($J47,SorP!$B$1:$B$6230,0)),"",INDIRECT("'SorP'!$A$"&amp;MATCH($J47,SorP!$B$1:$B$6230,0))))</f>
        <v>TW-TAO</v>
      </c>
      <c r="U47" s="241"/>
      <c r="V47" s="275">
        <f ca="1">IF(C47="",NA(),MATCH($B47&amp;$C47,'Smelter Look-up'!$J:$J,0))</f>
        <v>450</v>
      </c>
      <c r="W47" s="276"/>
      <c r="X47" s="276">
        <f t="shared" ca="1" si="7"/>
        <v>0</v>
      </c>
      <c r="Y47" s="276"/>
      <c r="Z47" s="276"/>
      <c r="AB47" s="278" t="str">
        <f t="shared" ca="1" si="8"/>
        <v>TinRui Da Hung</v>
      </c>
    </row>
    <row r="48" spans="1:28" s="277" customFormat="1" ht="63.75">
      <c r="A48" s="216" t="s">
        <v>2672</v>
      </c>
      <c r="B48" s="217" t="str">
        <f ca="1">IF(LEN(A48)=0,"",INDEX('Smelter Look-up'!$A:$A,MATCH($A48,'Smelter Look-up'!$E:$E,0)))</f>
        <v>Tantalum</v>
      </c>
      <c r="C48" s="221" t="str">
        <f ca="1">IF(LEN(A48)=0,"",INDEX('Smelter Look-up'!$C:$C,MATCH($A48,'Smelter Look-up'!$E:$E,0)))</f>
        <v>Asaka Riken Co., Ltd.</v>
      </c>
      <c r="D48" s="283"/>
      <c r="E48" s="217" t="str">
        <f ca="1">IF(ISERROR($V48),"",OFFSET('Smelter Look-up'!$D$4,$V48-4,0)&amp;"")</f>
        <v>JAPAN</v>
      </c>
      <c r="F48" s="217" t="str">
        <f ca="1">IF(ISERROR($V48),"",OFFSET('Smelter Look-up'!$E$4,$V48-4,0))</f>
        <v>CID000092</v>
      </c>
      <c r="G48" s="217" t="str">
        <f ca="1">IF(C48=$X$4,"Enter smelter details",IF(ISERROR($V48),"",OFFSET('Smelter Look-up'!$F$4,$V48-4,0)))</f>
        <v>RMI</v>
      </c>
      <c r="H48" s="218">
        <f ca="1">IF(ISERROR($V48),"",OFFSET('Smelter Look-up'!$G$4,$V48-4,0))</f>
        <v>0</v>
      </c>
      <c r="I48" s="219" t="str">
        <f ca="1">IF(ISERROR($V48),"",OFFSET('Smelter Look-up'!$H$4,$V48-4,0))</f>
        <v>Tamura</v>
      </c>
      <c r="J48" s="219" t="str">
        <f ca="1">IF(ISERROR($V48),"",OFFSET('Smelter Look-up'!$I$4,$V48-4,0))</f>
        <v>Fukushima</v>
      </c>
      <c r="K48" s="273"/>
      <c r="L48" s="273"/>
      <c r="M48" s="273"/>
      <c r="N48" s="273"/>
      <c r="O48" s="273"/>
      <c r="P48" s="220"/>
      <c r="Q48" s="274"/>
      <c r="R48" s="217" t="str">
        <f ca="1">IF(ISERROR($V48),"",OFFSET('Smelter Look-up'!$C$4,$V48-4,0)&amp;"")</f>
        <v>Asaka Riken Co., Ltd.</v>
      </c>
      <c r="S48" s="225" t="str">
        <f t="shared" ca="1" si="6"/>
        <v>JP</v>
      </c>
      <c r="T48" s="225" t="str">
        <f ca="1">IF(B48="","",IF(ISERROR(MATCH($J48,SorP!$B$1:$B$6230,0)),"",INDIRECT("'SorP'!$A$"&amp;MATCH($J48,SorP!$B$1:$B$6230,0))))</f>
        <v>JP-07</v>
      </c>
      <c r="U48" s="241"/>
      <c r="V48" s="275">
        <f ca="1">IF(C48="",NA(),MATCH($B48&amp;$C48,'Smelter Look-up'!$J:$J,0))</f>
        <v>295</v>
      </c>
      <c r="W48" s="276"/>
      <c r="X48" s="276">
        <f t="shared" ca="1" si="7"/>
        <v>0</v>
      </c>
      <c r="Y48" s="276"/>
      <c r="Z48" s="276"/>
      <c r="AB48" s="278" t="str">
        <f t="shared" ca="1" si="8"/>
        <v>TantalumAsaka Riken Co., Ltd.</v>
      </c>
    </row>
    <row r="49" spans="1:28" s="277" customFormat="1" ht="76.5">
      <c r="A49" s="216" t="s">
        <v>770</v>
      </c>
      <c r="B49" s="217" t="str">
        <f ca="1">IF(LEN(A49)=0,"",INDEX('Smelter Look-up'!$A:$A,MATCH($A49,'Smelter Look-up'!$E:$E,0)))</f>
        <v>Tantalum</v>
      </c>
      <c r="C49" s="221" t="str">
        <f ca="1">IF(LEN(A49)=0,"",INDEX('Smelter Look-up'!$C:$C,MATCH($A49,'Smelter Look-up'!$E:$E,0)))</f>
        <v>Jiujiang Tanbre Co., Ltd.</v>
      </c>
      <c r="D49" s="283"/>
      <c r="E49" s="217" t="str">
        <f ca="1">IF(ISERROR($V49),"",OFFSET('Smelter Look-up'!$D$4,$V49-4,0)&amp;"")</f>
        <v>CHINA</v>
      </c>
      <c r="F49" s="217" t="str">
        <f ca="1">IF(ISERROR($V49),"",OFFSET('Smelter Look-up'!$E$4,$V49-4,0))</f>
        <v>CID000917</v>
      </c>
      <c r="G49" s="217" t="str">
        <f ca="1">IF(C49=$X$4,"Enter smelter details",IF(ISERROR($V49),"",OFFSET('Smelter Look-up'!$F$4,$V49-4,0)))</f>
        <v>RMI</v>
      </c>
      <c r="H49" s="218">
        <f ca="1">IF(ISERROR($V49),"",OFFSET('Smelter Look-up'!$G$4,$V49-4,0))</f>
        <v>0</v>
      </c>
      <c r="I49" s="219" t="str">
        <f ca="1">IF(ISERROR($V49),"",OFFSET('Smelter Look-up'!$H$4,$V49-4,0))</f>
        <v>Jiujiang</v>
      </c>
      <c r="J49" s="219" t="str">
        <f ca="1">IF(ISERROR($V49),"",OFFSET('Smelter Look-up'!$I$4,$V49-4,0))</f>
        <v>Jiangxi Sheng</v>
      </c>
      <c r="K49" s="273"/>
      <c r="L49" s="273"/>
      <c r="M49" s="273"/>
      <c r="N49" s="273"/>
      <c r="O49" s="273"/>
      <c r="P49" s="220"/>
      <c r="Q49" s="274"/>
      <c r="R49" s="217" t="str">
        <f ca="1">IF(ISERROR($V49),"",OFFSET('Smelter Look-up'!$C$4,$V49-4,0)&amp;"")</f>
        <v>Jiujiang Tanbre Co., Ltd.</v>
      </c>
      <c r="S49" s="225" t="str">
        <f t="shared" ca="1" si="6"/>
        <v>CN</v>
      </c>
      <c r="T49" s="225" t="str">
        <f ca="1">IF(B49="","",IF(ISERROR(MATCH($J49,SorP!$B$1:$B$6230,0)),"",INDIRECT("'SorP'!$A$"&amp;MATCH($J49,SorP!$B$1:$B$6230,0))))</f>
        <v>CN-JX</v>
      </c>
      <c r="U49" s="241"/>
      <c r="V49" s="275">
        <f ca="1">IF(C49="",NA(),MATCH($B49&amp;$C49,'Smelter Look-up'!$J:$J,0))</f>
        <v>318</v>
      </c>
      <c r="W49" s="276"/>
      <c r="X49" s="276">
        <f t="shared" ca="1" si="7"/>
        <v>0</v>
      </c>
      <c r="Y49" s="276"/>
      <c r="Z49" s="276"/>
      <c r="AB49" s="278" t="str">
        <f t="shared" ca="1" si="8"/>
        <v>TantalumJiujiang Tanbre Co., Ltd.</v>
      </c>
    </row>
    <row r="50" spans="1:28" s="277" customFormat="1" ht="51">
      <c r="A50" s="216" t="s">
        <v>775</v>
      </c>
      <c r="B50" s="217" t="str">
        <f ca="1">IF(LEN(A50)=0,"",INDEX('Smelter Look-up'!$A:$A,MATCH($A50,'Smelter Look-up'!$E:$E,0)))</f>
        <v>Tantalum</v>
      </c>
      <c r="C50" s="221" t="str">
        <f ca="1">IF(LEN(A50)=0,"",INDEX('Smelter Look-up'!$C:$C,MATCH($A50,'Smelter Look-up'!$E:$E,0)))</f>
        <v>NPM Silmet AS</v>
      </c>
      <c r="D50" s="283"/>
      <c r="E50" s="217" t="str">
        <f ca="1">IF(ISERROR($V50),"",OFFSET('Smelter Look-up'!$D$4,$V50-4,0)&amp;"")</f>
        <v>ESTONIA</v>
      </c>
      <c r="F50" s="217" t="str">
        <f ca="1">IF(ISERROR($V50),"",OFFSET('Smelter Look-up'!$E$4,$V50-4,0))</f>
        <v>CID001200</v>
      </c>
      <c r="G50" s="217" t="str">
        <f ca="1">IF(C50=$X$4,"Enter smelter details",IF(ISERROR($V50),"",OFFSET('Smelter Look-up'!$F$4,$V50-4,0)))</f>
        <v>RMI</v>
      </c>
      <c r="H50" s="218">
        <f ca="1">IF(ISERROR($V50),"",OFFSET('Smelter Look-up'!$G$4,$V50-4,0))</f>
        <v>0</v>
      </c>
      <c r="I50" s="219" t="str">
        <f ca="1">IF(ISERROR($V50),"",OFFSET('Smelter Look-up'!$H$4,$V50-4,0))</f>
        <v>Sillamäe</v>
      </c>
      <c r="J50" s="219" t="str">
        <f ca="1">IF(ISERROR($V50),"",OFFSET('Smelter Look-up'!$I$4,$V50-4,0))</f>
        <v>Ida-Virumaa</v>
      </c>
      <c r="K50" s="273"/>
      <c r="L50" s="273"/>
      <c r="M50" s="273"/>
      <c r="N50" s="273"/>
      <c r="O50" s="273"/>
      <c r="P50" s="220"/>
      <c r="Q50" s="274"/>
      <c r="R50" s="217" t="str">
        <f ca="1">IF(ISERROR($V50),"",OFFSET('Smelter Look-up'!$C$4,$V50-4,0)&amp;"")</f>
        <v>NPM Silmet AS</v>
      </c>
      <c r="S50" s="225" t="str">
        <f t="shared" ca="1" si="6"/>
        <v>EE</v>
      </c>
      <c r="T50" s="225" t="str">
        <f ca="1">IF(B50="","",IF(ISERROR(MATCH($J50,SorP!$B$1:$B$6230,0)),"",INDIRECT("'SorP'!$A$"&amp;MATCH($J50,SorP!$B$1:$B$6230,0))))</f>
        <v>EE-44</v>
      </c>
      <c r="U50" s="241"/>
      <c r="V50" s="275">
        <f ca="1">IF(C50="",NA(),MATCH($B50&amp;$C50,'Smelter Look-up'!$J:$J,0))</f>
        <v>332</v>
      </c>
      <c r="W50" s="276"/>
      <c r="X50" s="276">
        <f t="shared" ca="1" si="7"/>
        <v>0</v>
      </c>
      <c r="Y50" s="276"/>
      <c r="Z50" s="276"/>
      <c r="AB50" s="278" t="str">
        <f t="shared" ca="1" si="8"/>
        <v>TantalumNPM Silmet AS</v>
      </c>
    </row>
    <row r="51" spans="1:28" s="277" customFormat="1" ht="63.75">
      <c r="A51" s="216" t="s">
        <v>1419</v>
      </c>
      <c r="B51" s="217" t="str">
        <f ca="1">IF(LEN(A51)=0,"",INDEX('Smelter Look-up'!$A:$A,MATCH($A51,'Smelter Look-up'!$E:$E,0)))</f>
        <v>Tantalum</v>
      </c>
      <c r="C51" s="221" t="str">
        <f ca="1">IF(LEN(A51)=0,"",INDEX('Smelter Look-up'!$C:$C,MATCH($A51,'Smelter Look-up'!$E:$E,0)))</f>
        <v>D Block Metals, LLC</v>
      </c>
      <c r="D51" s="283"/>
      <c r="E51" s="217" t="str">
        <f ca="1">IF(ISERROR($V51),"",OFFSET('Smelter Look-up'!$D$4,$V51-4,0)&amp;"")</f>
        <v>UNITED STATES OF AMERICA</v>
      </c>
      <c r="F51" s="217" t="str">
        <f ca="1">IF(ISERROR($V51),"",OFFSET('Smelter Look-up'!$E$4,$V51-4,0))</f>
        <v>CID002504</v>
      </c>
      <c r="G51" s="217" t="str">
        <f ca="1">IF(C51=$X$4,"Enter smelter details",IF(ISERROR($V51),"",OFFSET('Smelter Look-up'!$F$4,$V51-4,0)))</f>
        <v>RMI</v>
      </c>
      <c r="H51" s="218">
        <f ca="1">IF(ISERROR($V51),"",OFFSET('Smelter Look-up'!$G$4,$V51-4,0))</f>
        <v>0</v>
      </c>
      <c r="I51" s="219" t="str">
        <f ca="1">IF(ISERROR($V51),"",OFFSET('Smelter Look-up'!$H$4,$V51-4,0))</f>
        <v>Gastonia</v>
      </c>
      <c r="J51" s="219" t="str">
        <f ca="1">IF(ISERROR($V51),"",OFFSET('Smelter Look-up'!$I$4,$V51-4,0))</f>
        <v>North Carolina</v>
      </c>
      <c r="K51" s="273"/>
      <c r="L51" s="273"/>
      <c r="M51" s="273"/>
      <c r="N51" s="273"/>
      <c r="O51" s="273"/>
      <c r="P51" s="220"/>
      <c r="Q51" s="274"/>
      <c r="R51" s="217" t="str">
        <f ca="1">IF(ISERROR($V51),"",OFFSET('Smelter Look-up'!$C$4,$V51-4,0)&amp;"")</f>
        <v>D Block Metals, LLC</v>
      </c>
      <c r="S51" s="225" t="str">
        <f t="shared" ca="1" si="6"/>
        <v>US</v>
      </c>
      <c r="T51" s="225" t="str">
        <f ca="1">IF(B51="","",IF(ISERROR(MATCH($J51,SorP!$B$1:$B$6230,0)),"",INDIRECT("'SorP'!$A$"&amp;MATCH($J51,SorP!$B$1:$B$6230,0))))</f>
        <v>US-NC</v>
      </c>
      <c r="U51" s="241"/>
      <c r="V51" s="275">
        <f ca="1">IF(C51="",NA(),MATCH($B51&amp;$C51,'Smelter Look-up'!$J:$J,0))</f>
        <v>299</v>
      </c>
      <c r="W51" s="276"/>
      <c r="X51" s="276">
        <f t="shared" ca="1" si="7"/>
        <v>0</v>
      </c>
      <c r="Y51" s="276"/>
      <c r="Z51" s="276"/>
      <c r="AB51" s="278" t="str">
        <f t="shared" ca="1" si="8"/>
        <v>TantalumD Block Metals, LLC</v>
      </c>
    </row>
    <row r="52" spans="1:28" s="277" customFormat="1" ht="76.5">
      <c r="A52" s="216" t="s">
        <v>1420</v>
      </c>
      <c r="B52" s="217" t="str">
        <f ca="1">IF(LEN(A52)=0,"",INDEX('Smelter Look-up'!$A:$A,MATCH($A52,'Smelter Look-up'!$E:$E,0)))</f>
        <v>Tantalum</v>
      </c>
      <c r="C52" s="221" t="str">
        <f ca="1">IF(LEN(A52)=0,"",INDEX('Smelter Look-up'!$C:$C,MATCH($A52,'Smelter Look-up'!$E:$E,0)))</f>
        <v>FIR Metals &amp; Resource Ltd.</v>
      </c>
      <c r="D52" s="283"/>
      <c r="E52" s="217" t="str">
        <f ca="1">IF(ISERROR($V52),"",OFFSET('Smelter Look-up'!$D$4,$V52-4,0)&amp;"")</f>
        <v>CHINA</v>
      </c>
      <c r="F52" s="217" t="str">
        <f ca="1">IF(ISERROR($V52),"",OFFSET('Smelter Look-up'!$E$4,$V52-4,0))</f>
        <v>CID002505</v>
      </c>
      <c r="G52" s="217" t="str">
        <f ca="1">IF(C52=$X$4,"Enter smelter details",IF(ISERROR($V52),"",OFFSET('Smelter Look-up'!$F$4,$V52-4,0)))</f>
        <v>RMI</v>
      </c>
      <c r="H52" s="218">
        <f ca="1">IF(ISERROR($V52),"",OFFSET('Smelter Look-up'!$G$4,$V52-4,0))</f>
        <v>0</v>
      </c>
      <c r="I52" s="219" t="str">
        <f ca="1">IF(ISERROR($V52),"",OFFSET('Smelter Look-up'!$H$4,$V52-4,0))</f>
        <v>Zhuzhou</v>
      </c>
      <c r="J52" s="219" t="str">
        <f ca="1">IF(ISERROR($V52),"",OFFSET('Smelter Look-up'!$I$4,$V52-4,0))</f>
        <v>Hunan Sheng</v>
      </c>
      <c r="K52" s="273"/>
      <c r="L52" s="273"/>
      <c r="M52" s="273"/>
      <c r="N52" s="273"/>
      <c r="O52" s="273"/>
      <c r="P52" s="220"/>
      <c r="Q52" s="274"/>
      <c r="R52" s="217" t="str">
        <f ca="1">IF(ISERROR($V52),"",OFFSET('Smelter Look-up'!$C$4,$V52-4,0)&amp;"")</f>
        <v>FIR Metals &amp; Resource Ltd.</v>
      </c>
      <c r="S52" s="225" t="str">
        <f t="shared" ca="1" si="6"/>
        <v>CN</v>
      </c>
      <c r="T52" s="225" t="str">
        <f ca="1">IF(B52="","",IF(ISERROR(MATCH($J52,SorP!$B$1:$B$6230,0)),"",INDIRECT("'SorP'!$A$"&amp;MATCH($J52,SorP!$B$1:$B$6230,0))))</f>
        <v>CN-HN</v>
      </c>
      <c r="U52" s="241"/>
      <c r="V52" s="275">
        <f ca="1">IF(C52="",NA(),MATCH($B52&amp;$C52,'Smelter Look-up'!$J:$J,0))</f>
        <v>303</v>
      </c>
      <c r="W52" s="276"/>
      <c r="X52" s="276">
        <f t="shared" ca="1" si="7"/>
        <v>0</v>
      </c>
      <c r="Y52" s="276"/>
      <c r="Z52" s="276"/>
      <c r="AB52" s="278" t="str">
        <f t="shared" ca="1" si="8"/>
        <v>TantalumFIR Metals &amp; Resource Ltd.</v>
      </c>
    </row>
    <row r="53" spans="1:28" s="277" customFormat="1" ht="63.75">
      <c r="A53" s="216" t="s">
        <v>1439</v>
      </c>
      <c r="B53" s="217" t="str">
        <f ca="1">IF(LEN(A53)=0,"",INDEX('Smelter Look-up'!$A:$A,MATCH($A53,'Smelter Look-up'!$E:$E,0)))</f>
        <v>Tantalum</v>
      </c>
      <c r="C53" s="221" t="str">
        <f ca="1">IF(LEN(A53)=0,"",INDEX('Smelter Look-up'!$C:$C,MATCH($A53,'Smelter Look-up'!$E:$E,0)))</f>
        <v>H.C. Starck Co., Ltd.</v>
      </c>
      <c r="D53" s="283"/>
      <c r="E53" s="217" t="str">
        <f ca="1">IF(ISERROR($V53),"",OFFSET('Smelter Look-up'!$D$4,$V53-4,0)&amp;"")</f>
        <v>THAILAND</v>
      </c>
      <c r="F53" s="217" t="str">
        <f ca="1">IF(ISERROR($V53),"",OFFSET('Smelter Look-up'!$E$4,$V53-4,0))</f>
        <v>CID002544</v>
      </c>
      <c r="G53" s="217" t="str">
        <f ca="1">IF(C53=$X$4,"Enter smelter details",IF(ISERROR($V53),"",OFFSET('Smelter Look-up'!$F$4,$V53-4,0)))</f>
        <v>RMI</v>
      </c>
      <c r="H53" s="218">
        <f ca="1">IF(ISERROR($V53),"",OFFSET('Smelter Look-up'!$G$4,$V53-4,0))</f>
        <v>0</v>
      </c>
      <c r="I53" s="219" t="str">
        <f ca="1">IF(ISERROR($V53),"",OFFSET('Smelter Look-up'!$H$4,$V53-4,0))</f>
        <v>Map Ta Phut</v>
      </c>
      <c r="J53" s="219" t="str">
        <f ca="1">IF(ISERROR($V53),"",OFFSET('Smelter Look-up'!$I$4,$V53-4,0))</f>
        <v>Rayong</v>
      </c>
      <c r="K53" s="273"/>
      <c r="L53" s="273"/>
      <c r="M53" s="273"/>
      <c r="N53" s="273"/>
      <c r="O53" s="273"/>
      <c r="P53" s="220"/>
      <c r="Q53" s="274"/>
      <c r="R53" s="217" t="str">
        <f ca="1">IF(ISERROR($V53),"",OFFSET('Smelter Look-up'!$C$4,$V53-4,0)&amp;"")</f>
        <v>H.C. Starck Co., Ltd.</v>
      </c>
      <c r="S53" s="225" t="str">
        <f t="shared" ca="1" si="6"/>
        <v>TH</v>
      </c>
      <c r="T53" s="225" t="str">
        <f ca="1">IF(B53="","",IF(ISERROR(MATCH($J53,SorP!$B$1:$B$6230,0)),"",INDIRECT("'SorP'!$A$"&amp;MATCH($J53,SorP!$B$1:$B$6230,0))))</f>
        <v>TH-21</v>
      </c>
      <c r="U53" s="241"/>
      <c r="V53" s="275">
        <f ca="1">IF(C53="",NA(),MATCH($B53&amp;$C53,'Smelter Look-up'!$J:$J,0))</f>
        <v>307</v>
      </c>
      <c r="W53" s="276"/>
      <c r="X53" s="276">
        <f t="shared" ca="1" si="7"/>
        <v>0</v>
      </c>
      <c r="Y53" s="276"/>
      <c r="Z53" s="276"/>
      <c r="AB53" s="278" t="str">
        <f t="shared" ca="1" si="8"/>
        <v>TantalumH.C. Starck Co., Ltd.</v>
      </c>
    </row>
    <row r="54" spans="1:28" s="277" customFormat="1" ht="63.75">
      <c r="A54" s="216" t="s">
        <v>1442</v>
      </c>
      <c r="B54" s="217" t="str">
        <f ca="1">IF(LEN(A54)=0,"",INDEX('Smelter Look-up'!$A:$A,MATCH($A54,'Smelter Look-up'!$E:$E,0)))</f>
        <v>Tantalum</v>
      </c>
      <c r="C54" s="221" t="str">
        <f ca="1">IF(LEN(A54)=0,"",INDEX('Smelter Look-up'!$C:$C,MATCH($A54,'Smelter Look-up'!$E:$E,0)))</f>
        <v>H.C. Starck Hermsdorf GmbH</v>
      </c>
      <c r="D54" s="283"/>
      <c r="E54" s="217" t="str">
        <f ca="1">IF(ISERROR($V54),"",OFFSET('Smelter Look-up'!$D$4,$V54-4,0)&amp;"")</f>
        <v>GERMANY</v>
      </c>
      <c r="F54" s="217" t="str">
        <f ca="1">IF(ISERROR($V54),"",OFFSET('Smelter Look-up'!$E$4,$V54-4,0))</f>
        <v>CID002547</v>
      </c>
      <c r="G54" s="217" t="str">
        <f ca="1">IF(C54=$X$4,"Enter smelter details",IF(ISERROR($V54),"",OFFSET('Smelter Look-up'!$F$4,$V54-4,0)))</f>
        <v>RMI</v>
      </c>
      <c r="H54" s="218">
        <f ca="1">IF(ISERROR($V54),"",OFFSET('Smelter Look-up'!$G$4,$V54-4,0))</f>
        <v>0</v>
      </c>
      <c r="I54" s="219" t="str">
        <f ca="1">IF(ISERROR($V54),"",OFFSET('Smelter Look-up'!$H$4,$V54-4,0))</f>
        <v>Hermsdorf</v>
      </c>
      <c r="J54" s="219" t="str">
        <f ca="1">IF(ISERROR($V54),"",OFFSET('Smelter Look-up'!$I$4,$V54-4,0))</f>
        <v>Thüringen</v>
      </c>
      <c r="K54" s="273"/>
      <c r="L54" s="273"/>
      <c r="M54" s="273"/>
      <c r="N54" s="273"/>
      <c r="O54" s="273"/>
      <c r="P54" s="220"/>
      <c r="Q54" s="274"/>
      <c r="R54" s="217" t="str">
        <f ca="1">IF(ISERROR($V54),"",OFFSET('Smelter Look-up'!$C$4,$V54-4,0)&amp;"")</f>
        <v>H.C. Starck Hermsdorf GmbH</v>
      </c>
      <c r="S54" s="225" t="str">
        <f t="shared" ca="1" si="6"/>
        <v>DE</v>
      </c>
      <c r="T54" s="225" t="str">
        <f ca="1">IF(B54="","",IF(ISERROR(MATCH($J54,SorP!$B$1:$B$6230,0)),"",INDIRECT("'SorP'!$A$"&amp;MATCH($J54,SorP!$B$1:$B$6230,0))))</f>
        <v>DE-TH</v>
      </c>
      <c r="U54" s="241"/>
      <c r="V54" s="275">
        <f ca="1">IF(C54="",NA(),MATCH($B54&amp;$C54,'Smelter Look-up'!$J:$J,0))</f>
        <v>308</v>
      </c>
      <c r="W54" s="276"/>
      <c r="X54" s="276">
        <f t="shared" ca="1" si="7"/>
        <v>0</v>
      </c>
      <c r="Y54" s="276"/>
      <c r="Z54" s="276"/>
      <c r="AB54" s="278" t="str">
        <f t="shared" ca="1" si="8"/>
        <v>TantalumH.C. Starck Hermsdorf GmbH</v>
      </c>
    </row>
    <row r="55" spans="1:28" s="277" customFormat="1" ht="51">
      <c r="A55" s="216" t="s">
        <v>1444</v>
      </c>
      <c r="B55" s="217" t="str">
        <f ca="1">IF(LEN(A55)=0,"",INDEX('Smelter Look-up'!$A:$A,MATCH($A55,'Smelter Look-up'!$E:$E,0)))</f>
        <v>Tantalum</v>
      </c>
      <c r="C55" s="221" t="str">
        <f ca="1">IF(LEN(A55)=0,"",INDEX('Smelter Look-up'!$C:$C,MATCH($A55,'Smelter Look-up'!$E:$E,0)))</f>
        <v>H.C. Starck Inc.</v>
      </c>
      <c r="D55" s="283"/>
      <c r="E55" s="217" t="str">
        <f ca="1">IF(ISERROR($V55),"",OFFSET('Smelter Look-up'!$D$4,$V55-4,0)&amp;"")</f>
        <v>UNITED STATES OF AMERICA</v>
      </c>
      <c r="F55" s="217" t="str">
        <f ca="1">IF(ISERROR($V55),"",OFFSET('Smelter Look-up'!$E$4,$V55-4,0))</f>
        <v>CID002548</v>
      </c>
      <c r="G55" s="217" t="str">
        <f ca="1">IF(C55=$X$4,"Enter smelter details",IF(ISERROR($V55),"",OFFSET('Smelter Look-up'!$F$4,$V55-4,0)))</f>
        <v>RMI</v>
      </c>
      <c r="H55" s="218">
        <f ca="1">IF(ISERROR($V55),"",OFFSET('Smelter Look-up'!$G$4,$V55-4,0))</f>
        <v>0</v>
      </c>
      <c r="I55" s="219" t="str">
        <f ca="1">IF(ISERROR($V55),"",OFFSET('Smelter Look-up'!$H$4,$V55-4,0))</f>
        <v>Newton</v>
      </c>
      <c r="J55" s="219" t="str">
        <f ca="1">IF(ISERROR($V55),"",OFFSET('Smelter Look-up'!$I$4,$V55-4,0))</f>
        <v>Massachusetts</v>
      </c>
      <c r="K55" s="273"/>
      <c r="L55" s="273"/>
      <c r="M55" s="273"/>
      <c r="N55" s="273"/>
      <c r="O55" s="273"/>
      <c r="P55" s="220"/>
      <c r="Q55" s="274"/>
      <c r="R55" s="217" t="str">
        <f ca="1">IF(ISERROR($V55),"",OFFSET('Smelter Look-up'!$C$4,$V55-4,0)&amp;"")</f>
        <v>H.C. Starck Inc.</v>
      </c>
      <c r="S55" s="225" t="str">
        <f t="shared" ca="1" si="6"/>
        <v>US</v>
      </c>
      <c r="T55" s="225" t="str">
        <f ca="1">IF(B55="","",IF(ISERROR(MATCH($J55,SorP!$B$1:$B$6230,0)),"",INDIRECT("'SorP'!$A$"&amp;MATCH($J55,SorP!$B$1:$B$6230,0))))</f>
        <v>US-MA</v>
      </c>
      <c r="U55" s="241"/>
      <c r="V55" s="275">
        <f ca="1">IF(C55="",NA(),MATCH($B55&amp;$C55,'Smelter Look-up'!$J:$J,0))</f>
        <v>309</v>
      </c>
      <c r="W55" s="276"/>
      <c r="X55" s="276">
        <f t="shared" ca="1" si="7"/>
        <v>0</v>
      </c>
      <c r="Y55" s="276"/>
      <c r="Z55" s="276"/>
      <c r="AB55" s="278" t="str">
        <f t="shared" ca="1" si="8"/>
        <v>TantalumH.C. Starck Inc.</v>
      </c>
    </row>
    <row r="56" spans="1:28" s="277" customFormat="1" ht="89.25">
      <c r="A56" s="216" t="s">
        <v>1437</v>
      </c>
      <c r="B56" s="217" t="str">
        <f ca="1">IF(LEN(A56)=0,"",INDEX('Smelter Look-up'!$A:$A,MATCH($A56,'Smelter Look-up'!$E:$E,0)))</f>
        <v>Tantalum</v>
      </c>
      <c r="C56" s="221" t="str">
        <f ca="1">IF(LEN(A56)=0,"",INDEX('Smelter Look-up'!$C:$C,MATCH($A56,'Smelter Look-up'!$E:$E,0)))</f>
        <v>Global Advanced Metals Boyertown</v>
      </c>
      <c r="D56" s="283"/>
      <c r="E56" s="217" t="str">
        <f ca="1">IF(ISERROR($V56),"",OFFSET('Smelter Look-up'!$D$4,$V56-4,0)&amp;"")</f>
        <v>UNITED STATES OF AMERICA</v>
      </c>
      <c r="F56" s="217" t="str">
        <f ca="1">IF(ISERROR($V56),"",OFFSET('Smelter Look-up'!$E$4,$V56-4,0))</f>
        <v>CID002557</v>
      </c>
      <c r="G56" s="217" t="str">
        <f ca="1">IF(C56=$X$4,"Enter smelter details",IF(ISERROR($V56),"",OFFSET('Smelter Look-up'!$F$4,$V56-4,0)))</f>
        <v>RMI</v>
      </c>
      <c r="H56" s="218">
        <f ca="1">IF(ISERROR($V56),"",OFFSET('Smelter Look-up'!$G$4,$V56-4,0))</f>
        <v>0</v>
      </c>
      <c r="I56" s="219" t="str">
        <f ca="1">IF(ISERROR($V56),"",OFFSET('Smelter Look-up'!$H$4,$V56-4,0))</f>
        <v>Boyertown</v>
      </c>
      <c r="J56" s="219" t="str">
        <f ca="1">IF(ISERROR($V56),"",OFFSET('Smelter Look-up'!$I$4,$V56-4,0))</f>
        <v>Pennsylvania</v>
      </c>
      <c r="K56" s="273"/>
      <c r="L56" s="273"/>
      <c r="M56" s="273"/>
      <c r="N56" s="273"/>
      <c r="O56" s="273"/>
      <c r="P56" s="220"/>
      <c r="Q56" s="274"/>
      <c r="R56" s="217" t="str">
        <f ca="1">IF(ISERROR($V56),"",OFFSET('Smelter Look-up'!$C$4,$V56-4,0)&amp;"")</f>
        <v>Global Advanced Metals Boyertown</v>
      </c>
      <c r="S56" s="225" t="str">
        <f t="shared" ca="1" si="6"/>
        <v>US</v>
      </c>
      <c r="T56" s="225" t="str">
        <f ca="1">IF(B56="","",IF(ISERROR(MATCH($J56,SorP!$B$1:$B$6230,0)),"",INDIRECT("'SorP'!$A$"&amp;MATCH($J56,SorP!$B$1:$B$6230,0))))</f>
        <v>US-PA</v>
      </c>
      <c r="U56" s="241"/>
      <c r="V56" s="275">
        <f ca="1">IF(C56="",NA(),MATCH($B56&amp;$C56,'Smelter Look-up'!$J:$J,0))</f>
        <v>305</v>
      </c>
      <c r="W56" s="276"/>
      <c r="X56" s="276">
        <f t="shared" ca="1" si="7"/>
        <v>0</v>
      </c>
      <c r="Y56" s="276"/>
      <c r="Z56" s="276"/>
      <c r="AB56" s="278" t="str">
        <f t="shared" ca="1" si="8"/>
        <v>TantalumGlobal Advanced Metals Boyertown</v>
      </c>
    </row>
    <row r="57" spans="1:28" s="277" customFormat="1" ht="76.5">
      <c r="A57" s="216" t="s">
        <v>2387</v>
      </c>
      <c r="B57" s="217" t="str">
        <f ca="1">IF(LEN(A57)=0,"",INDEX('Smelter Look-up'!$A:$A,MATCH($A57,'Smelter Look-up'!$E:$E,0)))</f>
        <v>Tantalum</v>
      </c>
      <c r="C57" s="221" t="str">
        <f ca="1">IF(LEN(A57)=0,"",INDEX('Smelter Look-up'!$C:$C,MATCH($A57,'Smelter Look-up'!$E:$E,0)))</f>
        <v>Jiangxi Tuohong New Raw Material</v>
      </c>
      <c r="D57" s="283"/>
      <c r="E57" s="217" t="str">
        <f ca="1">IF(ISERROR($V57),"",OFFSET('Smelter Look-up'!$D$4,$V57-4,0)&amp;"")</f>
        <v>CHINA</v>
      </c>
      <c r="F57" s="217" t="str">
        <f ca="1">IF(ISERROR($V57),"",OFFSET('Smelter Look-up'!$E$4,$V57-4,0))</f>
        <v>CID002842</v>
      </c>
      <c r="G57" s="217" t="str">
        <f ca="1">IF(C57=$X$4,"Enter smelter details",IF(ISERROR($V57),"",OFFSET('Smelter Look-up'!$F$4,$V57-4,0)))</f>
        <v>RMI</v>
      </c>
      <c r="H57" s="218">
        <f ca="1">IF(ISERROR($V57),"",OFFSET('Smelter Look-up'!$G$4,$V57-4,0))</f>
        <v>0</v>
      </c>
      <c r="I57" s="219" t="str">
        <f ca="1">IF(ISERROR($V57),"",OFFSET('Smelter Look-up'!$H$4,$V57-4,0))</f>
        <v>Yichun</v>
      </c>
      <c r="J57" s="219" t="str">
        <f ca="1">IF(ISERROR($V57),"",OFFSET('Smelter Look-up'!$I$4,$V57-4,0))</f>
        <v>Jiangxi Sheng</v>
      </c>
      <c r="K57" s="273"/>
      <c r="L57" s="273"/>
      <c r="M57" s="273"/>
      <c r="N57" s="273"/>
      <c r="O57" s="273"/>
      <c r="P57" s="220"/>
      <c r="Q57" s="274"/>
      <c r="R57" s="217" t="str">
        <f ca="1">IF(ISERROR($V57),"",OFFSET('Smelter Look-up'!$C$4,$V57-4,0)&amp;"")</f>
        <v>Jiangxi Tuohong New Raw Material</v>
      </c>
      <c r="S57" s="225" t="str">
        <f t="shared" ca="1" si="6"/>
        <v>CN</v>
      </c>
      <c r="T57" s="225" t="str">
        <f ca="1">IF(B57="","",IF(ISERROR(MATCH($J57,SorP!$B$1:$B$6230,0)),"",INDIRECT("'SorP'!$A$"&amp;MATCH($J57,SorP!$B$1:$B$6230,0))))</f>
        <v>CN-JX</v>
      </c>
      <c r="U57" s="241"/>
      <c r="V57" s="275">
        <f ca="1">IF(C57="",NA(),MATCH($B57&amp;$C57,'Smelter Look-up'!$J:$J,0))</f>
        <v>315</v>
      </c>
      <c r="W57" s="276"/>
      <c r="X57" s="276">
        <f t="shared" ca="1" si="7"/>
        <v>0</v>
      </c>
      <c r="Y57" s="276"/>
      <c r="Z57" s="276"/>
      <c r="AB57" s="278" t="str">
        <f t="shared" ca="1" si="8"/>
        <v>TantalumJiangxi Tuohong New Raw Material</v>
      </c>
    </row>
    <row r="58" spans="1:28" s="277" customFormat="1" ht="114.75">
      <c r="A58" s="332" t="s">
        <v>764</v>
      </c>
      <c r="B58" s="217" t="str">
        <f ca="1">IF(LEN(A58)=0,"",INDEX('Smelter Look-up'!$A:$A,MATCH($A58,'Smelter Look-up'!$E:$E,0)))</f>
        <v>Tantalum</v>
      </c>
      <c r="C58" s="221" t="str">
        <f ca="1">IF(LEN(A58)=0,"",INDEX('Smelter Look-up'!$C:$C,MATCH($A58,'Smelter Look-up'!$E:$E,0)))</f>
        <v>Changsha South Tantalum Niobium Co., Ltd.</v>
      </c>
      <c r="D58" s="283"/>
      <c r="E58" s="217" t="str">
        <f ca="1">IF(ISERROR($V58),"",OFFSET('Smelter Look-up'!$D$4,$V58-4,0)&amp;"")</f>
        <v>CHINA</v>
      </c>
      <c r="F58" s="217" t="str">
        <f ca="1">IF(ISERROR($V58),"",OFFSET('Smelter Look-up'!$E$4,$V58-4,0))</f>
        <v>CID000211</v>
      </c>
      <c r="G58" s="217" t="str">
        <f ca="1">IF(C58=$X$4,"Enter smelter details",IF(ISERROR($V58),"",OFFSET('Smelter Look-up'!$F$4,$V58-4,0)))</f>
        <v>RMI</v>
      </c>
      <c r="H58" s="218">
        <f ca="1">IF(ISERROR($V58),"",OFFSET('Smelter Look-up'!$G$4,$V58-4,0))</f>
        <v>0</v>
      </c>
      <c r="I58" s="219" t="str">
        <f ca="1">IF(ISERROR($V58),"",OFFSET('Smelter Look-up'!$H$4,$V58-4,0))</f>
        <v>Changsha</v>
      </c>
      <c r="J58" s="219" t="str">
        <f ca="1">IF(ISERROR($V58),"",OFFSET('Smelter Look-up'!$I$4,$V58-4,0))</f>
        <v>Hunan Sheng</v>
      </c>
      <c r="K58" s="273"/>
      <c r="L58" s="273"/>
      <c r="M58" s="273"/>
      <c r="N58" s="273"/>
      <c r="O58" s="273"/>
      <c r="P58" s="220"/>
      <c r="Q58" s="274"/>
      <c r="R58" s="217" t="str">
        <f ca="1">IF(ISERROR($V58),"",OFFSET('Smelter Look-up'!$C$4,$V58-4,0)&amp;"")</f>
        <v>Changsha South Tantalum Niobium Co., Ltd.</v>
      </c>
      <c r="S58" s="225" t="str">
        <f t="shared" ca="1" si="6"/>
        <v>CN</v>
      </c>
      <c r="T58" s="225" t="str">
        <f ca="1">IF(B58="","",IF(ISERROR(MATCH($J58,SorP!$B$1:$B$6230,0)),"",INDIRECT("'SorP'!$A$"&amp;MATCH($J58,SorP!$B$1:$B$6230,0))))</f>
        <v>CN-HN</v>
      </c>
      <c r="U58" s="241"/>
      <c r="V58" s="275">
        <f ca="1">IF(C58="",NA(),MATCH($B58&amp;$C58,'Smelter Look-up'!$J:$J,0))</f>
        <v>296</v>
      </c>
      <c r="W58" s="276"/>
      <c r="X58" s="276">
        <f t="shared" ca="1" si="7"/>
        <v>0</v>
      </c>
      <c r="Y58" s="276"/>
      <c r="Z58" s="276"/>
      <c r="AB58" s="278" t="str">
        <f t="shared" ca="1" si="8"/>
        <v>TantalumChangsha South Tantalum Niobium Co., Ltd.</v>
      </c>
    </row>
    <row r="59" spans="1:28" s="277" customFormat="1" ht="38.25">
      <c r="A59" s="332" t="s">
        <v>765</v>
      </c>
      <c r="B59" s="217" t="str">
        <f ca="1">IF(LEN(A59)=0,"",INDEX('Smelter Look-up'!$A:$A,MATCH($A59,'Smelter Look-up'!$E:$E,0)))</f>
        <v>Tantalum</v>
      </c>
      <c r="C59" s="221" t="str">
        <f ca="1">IF(LEN(A59)=0,"",INDEX('Smelter Look-up'!$C:$C,MATCH($A59,'Smelter Look-up'!$E:$E,0)))</f>
        <v>Exotech Inc.</v>
      </c>
      <c r="D59" s="283"/>
      <c r="E59" s="217" t="str">
        <f ca="1">IF(ISERROR($V59),"",OFFSET('Smelter Look-up'!$D$4,$V59-4,0)&amp;"")</f>
        <v>UNITED STATES OF AMERICA</v>
      </c>
      <c r="F59" s="217" t="str">
        <f ca="1">IF(ISERROR($V59),"",OFFSET('Smelter Look-up'!$E$4,$V59-4,0))</f>
        <v>CID000456</v>
      </c>
      <c r="G59" s="217" t="str">
        <f ca="1">IF(C59=$X$4,"Enter smelter details",IF(ISERROR($V59),"",OFFSET('Smelter Look-up'!$F$4,$V59-4,0)))</f>
        <v>RMI</v>
      </c>
      <c r="H59" s="218">
        <f ca="1">IF(ISERROR($V59),"",OFFSET('Smelter Look-up'!$G$4,$V59-4,0))</f>
        <v>0</v>
      </c>
      <c r="I59" s="219" t="str">
        <f ca="1">IF(ISERROR($V59),"",OFFSET('Smelter Look-up'!$H$4,$V59-4,0))</f>
        <v>Pompano Beach</v>
      </c>
      <c r="J59" s="219" t="str">
        <f ca="1">IF(ISERROR($V59),"",OFFSET('Smelter Look-up'!$I$4,$V59-4,0))</f>
        <v>Florida</v>
      </c>
      <c r="K59" s="273"/>
      <c r="L59" s="273"/>
      <c r="M59" s="273"/>
      <c r="N59" s="273"/>
      <c r="O59" s="273"/>
      <c r="P59" s="220"/>
      <c r="Q59" s="274"/>
      <c r="R59" s="217" t="str">
        <f ca="1">IF(ISERROR($V59),"",OFFSET('Smelter Look-up'!$C$4,$V59-4,0)&amp;"")</f>
        <v>Exotech Inc.</v>
      </c>
      <c r="S59" s="225" t="str">
        <f t="shared" ca="1" si="6"/>
        <v>US</v>
      </c>
      <c r="T59" s="225" t="str">
        <f ca="1">IF(B59="","",IF(ISERROR(MATCH($J59,SorP!$B$1:$B$6230,0)),"",INDIRECT("'SorP'!$A$"&amp;MATCH($J59,SorP!$B$1:$B$6230,0))))</f>
        <v>US-FL</v>
      </c>
      <c r="U59" s="241"/>
      <c r="V59" s="275">
        <f ca="1">IF(C59="",NA(),MATCH($B59&amp;$C59,'Smelter Look-up'!$J:$J,0))</f>
        <v>300</v>
      </c>
      <c r="W59" s="276"/>
      <c r="X59" s="276">
        <f t="shared" ca="1" si="7"/>
        <v>0</v>
      </c>
      <c r="Y59" s="276"/>
      <c r="Z59" s="276"/>
      <c r="AB59" s="278" t="str">
        <f t="shared" ca="1" si="8"/>
        <v>TantalumExotech Inc.</v>
      </c>
    </row>
    <row r="60" spans="1:28" s="277" customFormat="1" ht="63.75">
      <c r="A60" s="332" t="s">
        <v>766</v>
      </c>
      <c r="B60" s="217" t="str">
        <f ca="1">IF(LEN(A60)=0,"",INDEX('Smelter Look-up'!$A:$A,MATCH($A60,'Smelter Look-up'!$E:$E,0)))</f>
        <v>Tantalum</v>
      </c>
      <c r="C60" s="221" t="str">
        <f ca="1">IF(LEN(A60)=0,"",INDEX('Smelter Look-up'!$C:$C,MATCH($A60,'Smelter Look-up'!$E:$E,0)))</f>
        <v>F&amp;X Electro-Materials Ltd.</v>
      </c>
      <c r="D60" s="283"/>
      <c r="E60" s="217" t="str">
        <f ca="1">IF(ISERROR($V60),"",OFFSET('Smelter Look-up'!$D$4,$V60-4,0)&amp;"")</f>
        <v>CHINA</v>
      </c>
      <c r="F60" s="217" t="str">
        <f ca="1">IF(ISERROR($V60),"",OFFSET('Smelter Look-up'!$E$4,$V60-4,0))</f>
        <v>CID000460</v>
      </c>
      <c r="G60" s="217" t="str">
        <f ca="1">IF(C60=$X$4,"Enter smelter details",IF(ISERROR($V60),"",OFFSET('Smelter Look-up'!$F$4,$V60-4,0)))</f>
        <v>RMI</v>
      </c>
      <c r="H60" s="218">
        <f ca="1">IF(ISERROR($V60),"",OFFSET('Smelter Look-up'!$G$4,$V60-4,0))</f>
        <v>0</v>
      </c>
      <c r="I60" s="219" t="str">
        <f ca="1">IF(ISERROR($V60),"",OFFSET('Smelter Look-up'!$H$4,$V60-4,0))</f>
        <v>Jiangmen</v>
      </c>
      <c r="J60" s="219" t="str">
        <f ca="1">IF(ISERROR($V60),"",OFFSET('Smelter Look-up'!$I$4,$V60-4,0))</f>
        <v>Guangdong Sheng</v>
      </c>
      <c r="K60" s="273"/>
      <c r="L60" s="273"/>
      <c r="M60" s="273"/>
      <c r="N60" s="273"/>
      <c r="O60" s="273"/>
      <c r="P60" s="220"/>
      <c r="Q60" s="274"/>
      <c r="R60" s="217" t="str">
        <f ca="1">IF(ISERROR($V60),"",OFFSET('Smelter Look-up'!$C$4,$V60-4,0)&amp;"")</f>
        <v>F&amp;X Electro-Materials Ltd.</v>
      </c>
      <c r="S60" s="225" t="str">
        <f t="shared" ca="1" si="6"/>
        <v>CN</v>
      </c>
      <c r="T60" s="225" t="str">
        <f ca="1">IF(B60="","",IF(ISERROR(MATCH($J60,SorP!$B$1:$B$6230,0)),"",INDIRECT("'SorP'!$A$"&amp;MATCH($J60,SorP!$B$1:$B$6230,0))))</f>
        <v>CN-GD</v>
      </c>
      <c r="U60" s="241"/>
      <c r="V60" s="275">
        <f ca="1">IF(C60="",NA(),MATCH($B60&amp;$C60,'Smelter Look-up'!$J:$J,0))</f>
        <v>302</v>
      </c>
      <c r="W60" s="276"/>
      <c r="X60" s="276">
        <f t="shared" ca="1" si="7"/>
        <v>0</v>
      </c>
      <c r="Y60" s="276"/>
      <c r="Z60" s="276"/>
      <c r="AB60" s="278" t="str">
        <f t="shared" ca="1" si="8"/>
        <v>TantalumF&amp;X Electro-Materials Ltd.</v>
      </c>
    </row>
    <row r="61" spans="1:28" s="277" customFormat="1" ht="102">
      <c r="A61" s="332" t="s">
        <v>769</v>
      </c>
      <c r="B61" s="217" t="str">
        <f ca="1">IF(LEN(A61)=0,"",INDEX('Smelter Look-up'!$A:$A,MATCH($A61,'Smelter Look-up'!$E:$E,0)))</f>
        <v>Tantalum</v>
      </c>
      <c r="C61" s="221" t="str">
        <f ca="1">IF(LEN(A61)=0,"",INDEX('Smelter Look-up'!$C:$C,MATCH($A61,'Smelter Look-up'!$E:$E,0)))</f>
        <v>JiuJiang JinXin Nonferrous Metals Co., Ltd.</v>
      </c>
      <c r="D61" s="283"/>
      <c r="E61" s="217" t="str">
        <f ca="1">IF(ISERROR($V61),"",OFFSET('Smelter Look-up'!$D$4,$V61-4,0)&amp;"")</f>
        <v>CHINA</v>
      </c>
      <c r="F61" s="217" t="str">
        <f ca="1">IF(ISERROR($V61),"",OFFSET('Smelter Look-up'!$E$4,$V61-4,0))</f>
        <v>CID000914</v>
      </c>
      <c r="G61" s="217" t="str">
        <f ca="1">IF(C61=$X$4,"Enter smelter details",IF(ISERROR($V61),"",OFFSET('Smelter Look-up'!$F$4,$V61-4,0)))</f>
        <v>RMI</v>
      </c>
      <c r="H61" s="218">
        <f ca="1">IF(ISERROR($V61),"",OFFSET('Smelter Look-up'!$G$4,$V61-4,0))</f>
        <v>0</v>
      </c>
      <c r="I61" s="219" t="str">
        <f ca="1">IF(ISERROR($V61),"",OFFSET('Smelter Look-up'!$H$4,$V61-4,0))</f>
        <v>Jiujiang</v>
      </c>
      <c r="J61" s="219" t="str">
        <f ca="1">IF(ISERROR($V61),"",OFFSET('Smelter Look-up'!$I$4,$V61-4,0))</f>
        <v>Jiangxi Sheng</v>
      </c>
      <c r="K61" s="273"/>
      <c r="L61" s="273"/>
      <c r="M61" s="273"/>
      <c r="N61" s="273"/>
      <c r="O61" s="273"/>
      <c r="P61" s="220"/>
      <c r="Q61" s="274"/>
      <c r="R61" s="217" t="str">
        <f ca="1">IF(ISERROR($V61),"",OFFSET('Smelter Look-up'!$C$4,$V61-4,0)&amp;"")</f>
        <v>JiuJiang JinXin Nonferrous Metals Co., Ltd.</v>
      </c>
      <c r="S61" s="225" t="str">
        <f t="shared" ca="1" si="6"/>
        <v>CN</v>
      </c>
      <c r="T61" s="225" t="str">
        <f ca="1">IF(B61="","",IF(ISERROR(MATCH($J61,SorP!$B$1:$B$6230,0)),"",INDIRECT("'SorP'!$A$"&amp;MATCH($J61,SorP!$B$1:$B$6230,0))))</f>
        <v>CN-JX</v>
      </c>
      <c r="U61" s="241"/>
      <c r="V61" s="275">
        <f ca="1">IF(C61="",NA(),MATCH($B61&amp;$C61,'Smelter Look-up'!$J:$J,0))</f>
        <v>316</v>
      </c>
      <c r="W61" s="276"/>
      <c r="X61" s="276">
        <f t="shared" ca="1" si="7"/>
        <v>0</v>
      </c>
      <c r="Y61" s="276"/>
      <c r="Z61" s="276"/>
      <c r="AB61" s="278" t="str">
        <f t="shared" ca="1" si="8"/>
        <v>TantalumJiuJiang JinXin Nonferrous Metals Co., Ltd.</v>
      </c>
    </row>
    <row r="62" spans="1:28" s="277" customFormat="1" ht="102">
      <c r="A62" s="332" t="s">
        <v>776</v>
      </c>
      <c r="B62" s="217" t="str">
        <f ca="1">IF(LEN(A62)=0,"",INDEX('Smelter Look-up'!$A:$A,MATCH($A62,'Smelter Look-up'!$E:$E,0)))</f>
        <v>Tantalum</v>
      </c>
      <c r="C62" s="221" t="str">
        <f ca="1">IF(LEN(A62)=0,"",INDEX('Smelter Look-up'!$C:$C,MATCH($A62,'Smelter Look-up'!$E:$E,0)))</f>
        <v>Ningxia Orient Tantalum Industry Co., Ltd.</v>
      </c>
      <c r="D62" s="283"/>
      <c r="E62" s="217" t="str">
        <f ca="1">IF(ISERROR($V62),"",OFFSET('Smelter Look-up'!$D$4,$V62-4,0)&amp;"")</f>
        <v>CHINA</v>
      </c>
      <c r="F62" s="217" t="str">
        <f ca="1">IF(ISERROR($V62),"",OFFSET('Smelter Look-up'!$E$4,$V62-4,0))</f>
        <v>CID001277</v>
      </c>
      <c r="G62" s="217" t="str">
        <f ca="1">IF(C62=$X$4,"Enter smelter details",IF(ISERROR($V62),"",OFFSET('Smelter Look-up'!$F$4,$V62-4,0)))</f>
        <v>RMI</v>
      </c>
      <c r="H62" s="218">
        <f ca="1">IF(ISERROR($V62),"",OFFSET('Smelter Look-up'!$G$4,$V62-4,0))</f>
        <v>0</v>
      </c>
      <c r="I62" s="219" t="str">
        <f ca="1">IF(ISERROR($V62),"",OFFSET('Smelter Look-up'!$H$4,$V62-4,0))</f>
        <v>Shizuishan City</v>
      </c>
      <c r="J62" s="219" t="str">
        <f ca="1">IF(ISERROR($V62),"",OFFSET('Smelter Look-up'!$I$4,$V62-4,0))</f>
        <v>Ningxia Huizi Zizhiqu</v>
      </c>
      <c r="K62" s="273"/>
      <c r="L62" s="273"/>
      <c r="M62" s="273"/>
      <c r="N62" s="273"/>
      <c r="O62" s="273"/>
      <c r="P62" s="220"/>
      <c r="Q62" s="274"/>
      <c r="R62" s="217" t="str">
        <f ca="1">IF(ISERROR($V62),"",OFFSET('Smelter Look-up'!$C$4,$V62-4,0)&amp;"")</f>
        <v>Ningxia Orient Tantalum Industry Co., Ltd.</v>
      </c>
      <c r="S62" s="225" t="str">
        <f t="shared" ca="1" si="6"/>
        <v>CN</v>
      </c>
      <c r="T62" s="225" t="str">
        <f ca="1">IF(B62="","",IF(ISERROR(MATCH($J62,SorP!$B$1:$B$6230,0)),"",INDIRECT("'SorP'!$A$"&amp;MATCH($J62,SorP!$B$1:$B$6230,0))))</f>
        <v>CN-NX</v>
      </c>
      <c r="U62" s="241"/>
      <c r="V62" s="275">
        <f ca="1">IF(C62="",NA(),MATCH($B62&amp;$C62,'Smelter Look-up'!$J:$J,0))</f>
        <v>331</v>
      </c>
      <c r="W62" s="276"/>
      <c r="X62" s="276">
        <f t="shared" ca="1" si="7"/>
        <v>0</v>
      </c>
      <c r="Y62" s="276"/>
      <c r="Z62" s="276"/>
      <c r="AB62" s="278" t="str">
        <f t="shared" ca="1" si="8"/>
        <v>TantalumNingxia Orient Tantalum Industry Co., Ltd.</v>
      </c>
    </row>
    <row r="63" spans="1:28" s="277" customFormat="1" ht="76.5">
      <c r="A63" s="216" t="s">
        <v>782</v>
      </c>
      <c r="B63" s="217" t="str">
        <f ca="1">IF(LEN(A63)=0,"",INDEX('Smelter Look-up'!$A:$A,MATCH($A63,'Smelter Look-up'!$E:$E,0)))</f>
        <v>Tantalum</v>
      </c>
      <c r="C63" s="221" t="str">
        <f ca="1">IF(LEN(A63)=0,"",INDEX('Smelter Look-up'!$C:$C,MATCH($A63,'Smelter Look-up'!$E:$E,0)))</f>
        <v>Ulba Metallurgical Plant JSC</v>
      </c>
      <c r="D63" s="283"/>
      <c r="E63" s="217" t="str">
        <f ca="1">IF(ISERROR($V63),"",OFFSET('Smelter Look-up'!$D$4,$V63-4,0)&amp;"")</f>
        <v>KAZAKHSTAN</v>
      </c>
      <c r="F63" s="217" t="str">
        <f ca="1">IF(ISERROR($V63),"",OFFSET('Smelter Look-up'!$E$4,$V63-4,0))</f>
        <v>CID001969</v>
      </c>
      <c r="G63" s="217" t="str">
        <f ca="1">IF(C63=$X$4,"Enter smelter details",IF(ISERROR($V63),"",OFFSET('Smelter Look-up'!$F$4,$V63-4,0)))</f>
        <v>RMI</v>
      </c>
      <c r="H63" s="218">
        <f ca="1">IF(ISERROR($V63),"",OFFSET('Smelter Look-up'!$G$4,$V63-4,0))</f>
        <v>0</v>
      </c>
      <c r="I63" s="219" t="str">
        <f ca="1">IF(ISERROR($V63),"",OFFSET('Smelter Look-up'!$H$4,$V63-4,0))</f>
        <v>Ust-Kamenogorsk</v>
      </c>
      <c r="J63" s="219" t="str">
        <f ca="1">IF(ISERROR($V63),"",OFFSET('Smelter Look-up'!$I$4,$V63-4,0))</f>
        <v>Qaraghandy oblysy</v>
      </c>
      <c r="K63" s="273"/>
      <c r="L63" s="273"/>
      <c r="M63" s="273"/>
      <c r="N63" s="273"/>
      <c r="O63" s="273"/>
      <c r="P63" s="220"/>
      <c r="Q63" s="274"/>
      <c r="R63" s="217" t="str">
        <f ca="1">IF(ISERROR($V63),"",OFFSET('Smelter Look-up'!$C$4,$V63-4,0)&amp;"")</f>
        <v>Ulba Metallurgical Plant JSC</v>
      </c>
      <c r="S63" s="225" t="str">
        <f t="shared" ca="1" si="6"/>
        <v>KZ</v>
      </c>
      <c r="T63" s="225" t="str">
        <f ca="1">IF(B63="","",IF(ISERROR(MATCH($J63,SorP!$B$1:$B$6230,0)),"",INDIRECT("'SorP'!$A$"&amp;MATCH($J63,SorP!$B$1:$B$6230,0))))</f>
        <v>KZ-KAR</v>
      </c>
      <c r="U63" s="241"/>
      <c r="V63" s="275">
        <f ca="1">IF(C63="",NA(),MATCH($B63&amp;$C63,'Smelter Look-up'!$J:$J,0))</f>
        <v>349</v>
      </c>
      <c r="W63" s="276"/>
      <c r="X63" s="276">
        <f t="shared" ca="1" si="7"/>
        <v>0</v>
      </c>
      <c r="Y63" s="276"/>
      <c r="Z63" s="276"/>
      <c r="AB63" s="278" t="str">
        <f t="shared" ca="1" si="8"/>
        <v>TantalumUlba Metallurgical Plant JSC</v>
      </c>
    </row>
    <row r="64" spans="1:28" s="277" customFormat="1" ht="89.25">
      <c r="A64" s="216" t="s">
        <v>1440</v>
      </c>
      <c r="B64" s="217" t="str">
        <f ca="1">IF(LEN(A64)=0,"",INDEX('Smelter Look-up'!$A:$A,MATCH($A64,'Smelter Look-up'!$E:$E,0)))</f>
        <v>Tantalum</v>
      </c>
      <c r="C64" s="221" t="str">
        <f ca="1">IF(LEN(A64)=0,"",INDEX('Smelter Look-up'!$C:$C,MATCH($A64,'Smelter Look-up'!$E:$E,0)))</f>
        <v>H.C. Starck Tantalum and Niobium GmbH</v>
      </c>
      <c r="D64" s="283"/>
      <c r="E64" s="217" t="str">
        <f ca="1">IF(ISERROR($V64),"",OFFSET('Smelter Look-up'!$D$4,$V64-4,0)&amp;"")</f>
        <v>GERMANY</v>
      </c>
      <c r="F64" s="217" t="str">
        <f ca="1">IF(ISERROR($V64),"",OFFSET('Smelter Look-up'!$E$4,$V64-4,0))</f>
        <v>CID002545</v>
      </c>
      <c r="G64" s="217" t="str">
        <f ca="1">IF(C64=$X$4,"Enter smelter details",IF(ISERROR($V64),"",OFFSET('Smelter Look-up'!$F$4,$V64-4,0)))</f>
        <v>RMI</v>
      </c>
      <c r="H64" s="218">
        <f ca="1">IF(ISERROR($V64),"",OFFSET('Smelter Look-up'!$G$4,$V64-4,0))</f>
        <v>0</v>
      </c>
      <c r="I64" s="219" t="str">
        <f ca="1">IF(ISERROR($V64),"",OFFSET('Smelter Look-up'!$H$4,$V64-4,0))</f>
        <v>Goslar</v>
      </c>
      <c r="J64" s="219" t="str">
        <f ca="1">IF(ISERROR($V64),"",OFFSET('Smelter Look-up'!$I$4,$V64-4,0))</f>
        <v>Niedersachsen</v>
      </c>
      <c r="K64" s="273"/>
      <c r="L64" s="273"/>
      <c r="M64" s="273"/>
      <c r="N64" s="273"/>
      <c r="O64" s="273"/>
      <c r="P64" s="220"/>
      <c r="Q64" s="274"/>
      <c r="R64" s="217" t="str">
        <f ca="1">IF(ISERROR($V64),"",OFFSET('Smelter Look-up'!$C$4,$V64-4,0)&amp;"")</f>
        <v>H.C. Starck Tantalum and Niobium GmbH</v>
      </c>
      <c r="S64" s="225" t="str">
        <f t="shared" ca="1" si="6"/>
        <v>DE</v>
      </c>
      <c r="T64" s="225" t="str">
        <f ca="1">IF(B64="","",IF(ISERROR(MATCH($J64,SorP!$B$1:$B$6230,0)),"",INDIRECT("'SorP'!$A$"&amp;MATCH($J64,SorP!$B$1:$B$6230,0))))</f>
        <v>DE-NI</v>
      </c>
      <c r="U64" s="241"/>
      <c r="V64" s="275">
        <f ca="1">IF(C64="",NA(),MATCH($B64&amp;$C64,'Smelter Look-up'!$J:$J,0))</f>
        <v>312</v>
      </c>
      <c r="W64" s="276"/>
      <c r="X64" s="276">
        <f t="shared" ca="1" si="7"/>
        <v>0</v>
      </c>
      <c r="Y64" s="276"/>
      <c r="Z64" s="276"/>
      <c r="AB64" s="278" t="str">
        <f t="shared" ca="1" si="8"/>
        <v>TantalumH.C. Starck Tantalum and Niobium GmbH</v>
      </c>
    </row>
    <row r="65" spans="1:28" s="277" customFormat="1" ht="63.75">
      <c r="A65" s="216" t="s">
        <v>811</v>
      </c>
      <c r="B65" s="217" t="str">
        <f ca="1">IF(LEN(A65)=0,"",INDEX('Smelter Look-up'!$A:$A,MATCH($A65,'Smelter Look-up'!$E:$E,0)))</f>
        <v>Tungsten</v>
      </c>
      <c r="C65" s="221" t="str">
        <f ca="1">IF(LEN(A65)=0,"",INDEX('Smelter Look-up'!$C:$C,MATCH($A65,'Smelter Look-up'!$E:$E,0)))</f>
        <v>Kennametal Huntsville</v>
      </c>
      <c r="D65" s="283"/>
      <c r="E65" s="217" t="str">
        <f ca="1">IF(ISERROR($V65),"",OFFSET('Smelter Look-up'!$D$4,$V65-4,0)&amp;"")</f>
        <v>UNITED STATES OF AMERICA</v>
      </c>
      <c r="F65" s="217" t="str">
        <f ca="1">IF(ISERROR($V65),"",OFFSET('Smelter Look-up'!$E$4,$V65-4,0))</f>
        <v>CID000105</v>
      </c>
      <c r="G65" s="217" t="str">
        <f ca="1">IF(C65=$X$4,"Enter smelter details",IF(ISERROR($V65),"",OFFSET('Smelter Look-up'!$F$4,$V65-4,0)))</f>
        <v>RMI</v>
      </c>
      <c r="H65" s="218">
        <f ca="1">IF(ISERROR($V65),"",OFFSET('Smelter Look-up'!$G$4,$V65-4,0))</f>
        <v>0</v>
      </c>
      <c r="I65" s="219" t="str">
        <f ca="1">IF(ISERROR($V65),"",OFFSET('Smelter Look-up'!$H$4,$V65-4,0))</f>
        <v>Huntsville</v>
      </c>
      <c r="J65" s="219" t="str">
        <f ca="1">IF(ISERROR($V65),"",OFFSET('Smelter Look-up'!$I$4,$V65-4,0))</f>
        <v>Alabama</v>
      </c>
      <c r="K65" s="273"/>
      <c r="L65" s="273"/>
      <c r="M65" s="273"/>
      <c r="N65" s="273"/>
      <c r="O65" s="273"/>
      <c r="P65" s="220"/>
      <c r="Q65" s="274"/>
      <c r="R65" s="217" t="str">
        <f ca="1">IF(ISERROR($V65),"",OFFSET('Smelter Look-up'!$C$4,$V65-4,0)&amp;"")</f>
        <v>Kennametal Huntsville</v>
      </c>
      <c r="S65" s="225" t="str">
        <f t="shared" ca="1" si="6"/>
        <v>US</v>
      </c>
      <c r="T65" s="225" t="str">
        <f ca="1">IF(B65="","",IF(ISERROR(MATCH($J65,SorP!$B$1:$B$6230,0)),"",INDIRECT("'SorP'!$A$"&amp;MATCH($J65,SorP!$B$1:$B$6230,0))))</f>
        <v>US-AL</v>
      </c>
      <c r="U65" s="241"/>
      <c r="V65" s="275">
        <f ca="1">IF(C65="",NA(),MATCH($B65&amp;$C65,'Smelter Look-up'!$J:$J,0))</f>
        <v>538</v>
      </c>
      <c r="W65" s="276"/>
      <c r="X65" s="276">
        <f t="shared" ca="1" si="7"/>
        <v>0</v>
      </c>
      <c r="Y65" s="276"/>
      <c r="Z65" s="276"/>
      <c r="AB65" s="278" t="str">
        <f t="shared" ca="1" si="8"/>
        <v>TungstenKennametal Huntsville</v>
      </c>
    </row>
    <row r="66" spans="1:28" s="277" customFormat="1" ht="76.5">
      <c r="A66" s="216" t="s">
        <v>815</v>
      </c>
      <c r="B66" s="217" t="str">
        <f ca="1">IF(LEN(A66)=0,"",INDEX('Smelter Look-up'!$A:$A,MATCH($A66,'Smelter Look-up'!$E:$E,0)))</f>
        <v>Tungsten</v>
      </c>
      <c r="C66" s="221" t="str">
        <f ca="1">IF(LEN(A66)=0,"",INDEX('Smelter Look-up'!$C:$C,MATCH($A66,'Smelter Look-up'!$E:$E,0)))</f>
        <v>Global Tungsten &amp; Powders Corp.</v>
      </c>
      <c r="D66" s="283"/>
      <c r="E66" s="217" t="str">
        <f ca="1">IF(ISERROR($V66),"",OFFSET('Smelter Look-up'!$D$4,$V66-4,0)&amp;"")</f>
        <v>UNITED STATES OF AMERICA</v>
      </c>
      <c r="F66" s="217" t="str">
        <f ca="1">IF(ISERROR($V66),"",OFFSET('Smelter Look-up'!$E$4,$V66-4,0))</f>
        <v>CID000568</v>
      </c>
      <c r="G66" s="217" t="str">
        <f ca="1">IF(C66=$X$4,"Enter smelter details",IF(ISERROR($V66),"",OFFSET('Smelter Look-up'!$F$4,$V66-4,0)))</f>
        <v>RMI</v>
      </c>
      <c r="H66" s="218">
        <f ca="1">IF(ISERROR($V66),"",OFFSET('Smelter Look-up'!$G$4,$V66-4,0))</f>
        <v>0</v>
      </c>
      <c r="I66" s="219" t="str">
        <f ca="1">IF(ISERROR($V66),"",OFFSET('Smelter Look-up'!$H$4,$V66-4,0))</f>
        <v>Towanda</v>
      </c>
      <c r="J66" s="219" t="str">
        <f ca="1">IF(ISERROR($V66),"",OFFSET('Smelter Look-up'!$I$4,$V66-4,0))</f>
        <v>Pennsylvania</v>
      </c>
      <c r="K66" s="273"/>
      <c r="L66" s="273"/>
      <c r="M66" s="273"/>
      <c r="N66" s="273"/>
      <c r="O66" s="273"/>
      <c r="P66" s="220"/>
      <c r="Q66" s="274"/>
      <c r="R66" s="217" t="str">
        <f ca="1">IF(ISERROR($V66),"",OFFSET('Smelter Look-up'!$C$4,$V66-4,0)&amp;"")</f>
        <v>Global Tungsten &amp; Powders Corp.</v>
      </c>
      <c r="S66" s="225" t="str">
        <f t="shared" ca="1" si="6"/>
        <v>US</v>
      </c>
      <c r="T66" s="225" t="str">
        <f ca="1">IF(B66="","",IF(ISERROR(MATCH($J66,SorP!$B$1:$B$6230,0)),"",INDIRECT("'SorP'!$A$"&amp;MATCH($J66,SorP!$B$1:$B$6230,0))))</f>
        <v>US-PA</v>
      </c>
      <c r="U66" s="241"/>
      <c r="V66" s="275">
        <f ca="1">IF(C66="",NA(),MATCH($B66&amp;$C66,'Smelter Look-up'!$J:$J,0))</f>
        <v>512</v>
      </c>
      <c r="W66" s="276"/>
      <c r="X66" s="276">
        <f t="shared" ca="1" si="7"/>
        <v>0</v>
      </c>
      <c r="Y66" s="276"/>
      <c r="Z66" s="276"/>
      <c r="AB66" s="278" t="str">
        <f t="shared" ca="1" si="8"/>
        <v>TungstenGlobal Tungsten &amp; Powders Corp.</v>
      </c>
    </row>
    <row r="67" spans="1:28" s="277" customFormat="1" ht="76.5">
      <c r="A67" s="216" t="s">
        <v>816</v>
      </c>
      <c r="B67" s="217" t="str">
        <f ca="1">IF(LEN(A67)=0,"",INDEX('Smelter Look-up'!$A:$A,MATCH($A67,'Smelter Look-up'!$E:$E,0)))</f>
        <v>Tungsten</v>
      </c>
      <c r="C67" s="221" t="str">
        <f ca="1">IF(LEN(A67)=0,"",INDEX('Smelter Look-up'!$C:$C,MATCH($A67,'Smelter Look-up'!$E:$E,0)))</f>
        <v>Hunan Chenzhou Mining Co., Ltd.</v>
      </c>
      <c r="D67" s="283"/>
      <c r="E67" s="217" t="str">
        <f ca="1">IF(ISERROR($V67),"",OFFSET('Smelter Look-up'!$D$4,$V67-4,0)&amp;"")</f>
        <v>CHINA</v>
      </c>
      <c r="F67" s="217" t="str">
        <f ca="1">IF(ISERROR($V67),"",OFFSET('Smelter Look-up'!$E$4,$V67-4,0))</f>
        <v>CID000766</v>
      </c>
      <c r="G67" s="217" t="str">
        <f ca="1">IF(C67=$X$4,"Enter smelter details",IF(ISERROR($V67),"",OFFSET('Smelter Look-up'!$F$4,$V67-4,0)))</f>
        <v>RMI</v>
      </c>
      <c r="H67" s="218">
        <f ca="1">IF(ISERROR($V67),"",OFFSET('Smelter Look-up'!$G$4,$V67-4,0))</f>
        <v>0</v>
      </c>
      <c r="I67" s="219" t="str">
        <f ca="1">IF(ISERROR($V67),"",OFFSET('Smelter Look-up'!$H$4,$V67-4,0))</f>
        <v>Yuanling</v>
      </c>
      <c r="J67" s="219" t="str">
        <f ca="1">IF(ISERROR($V67),"",OFFSET('Smelter Look-up'!$I$4,$V67-4,0))</f>
        <v>Hunan Sheng</v>
      </c>
      <c r="K67" s="273"/>
      <c r="L67" s="273"/>
      <c r="M67" s="273"/>
      <c r="N67" s="273"/>
      <c r="O67" s="273"/>
      <c r="P67" s="220"/>
      <c r="Q67" s="274"/>
      <c r="R67" s="217" t="str">
        <f ca="1">IF(ISERROR($V67),"",OFFSET('Smelter Look-up'!$C$4,$V67-4,0)&amp;"")</f>
        <v>Hunan Chenzhou Mining Co., Ltd.</v>
      </c>
      <c r="S67" s="225" t="str">
        <f t="shared" ca="1" si="6"/>
        <v>CN</v>
      </c>
      <c r="T67" s="225" t="str">
        <f ca="1">IF(B67="","",IF(ISERROR(MATCH($J67,SorP!$B$1:$B$6230,0)),"",INDIRECT("'SorP'!$A$"&amp;MATCH($J67,SorP!$B$1:$B$6230,0))))</f>
        <v>CN-HN</v>
      </c>
      <c r="U67" s="241"/>
      <c r="V67" s="275">
        <f ca="1">IF(C67="",NA(),MATCH($B67&amp;$C67,'Smelter Look-up'!$J:$J,0))</f>
        <v>519</v>
      </c>
      <c r="W67" s="276"/>
      <c r="X67" s="276">
        <f t="shared" ca="1" si="7"/>
        <v>0</v>
      </c>
      <c r="Y67" s="276"/>
      <c r="Z67" s="276"/>
      <c r="AB67" s="278" t="str">
        <f t="shared" ca="1" si="8"/>
        <v>TungstenHunan Chenzhou Mining Co., Ltd.</v>
      </c>
    </row>
    <row r="68" spans="1:28" s="277" customFormat="1" ht="114.75">
      <c r="A68" s="216" t="s">
        <v>817</v>
      </c>
      <c r="B68" s="217" t="str">
        <f ca="1">IF(LEN(A68)=0,"",INDEX('Smelter Look-up'!$A:$A,MATCH($A68,'Smelter Look-up'!$E:$E,0)))</f>
        <v>Tungsten</v>
      </c>
      <c r="C68" s="221" t="str">
        <f ca="1">IF(LEN(A68)=0,"",INDEX('Smelter Look-up'!$C:$C,MATCH($A68,'Smelter Look-up'!$E:$E,0)))</f>
        <v>Hunan Chunchang Nonferrous Metals Co., Ltd.</v>
      </c>
      <c r="D68" s="283"/>
      <c r="E68" s="217" t="str">
        <f ca="1">IF(ISERROR($V68),"",OFFSET('Smelter Look-up'!$D$4,$V68-4,0)&amp;"")</f>
        <v>CHINA</v>
      </c>
      <c r="F68" s="217" t="str">
        <f ca="1">IF(ISERROR($V68),"",OFFSET('Smelter Look-up'!$E$4,$V68-4,0))</f>
        <v>CID000769</v>
      </c>
      <c r="G68" s="217" t="str">
        <f ca="1">IF(C68=$X$4,"Enter smelter details",IF(ISERROR($V68),"",OFFSET('Smelter Look-up'!$F$4,$V68-4,0)))</f>
        <v>RMI</v>
      </c>
      <c r="H68" s="218">
        <f ca="1">IF(ISERROR($V68),"",OFFSET('Smelter Look-up'!$G$4,$V68-4,0))</f>
        <v>0</v>
      </c>
      <c r="I68" s="219" t="str">
        <f ca="1">IF(ISERROR($V68),"",OFFSET('Smelter Look-up'!$H$4,$V68-4,0))</f>
        <v>Hengyang</v>
      </c>
      <c r="J68" s="219" t="str">
        <f ca="1">IF(ISERROR($V68),"",OFFSET('Smelter Look-up'!$I$4,$V68-4,0))</f>
        <v>Hunan Sheng</v>
      </c>
      <c r="K68" s="273"/>
      <c r="L68" s="273"/>
      <c r="M68" s="273"/>
      <c r="N68" s="273"/>
      <c r="O68" s="273"/>
      <c r="P68" s="220"/>
      <c r="Q68" s="274"/>
      <c r="R68" s="217" t="str">
        <f ca="1">IF(ISERROR($V68),"",OFFSET('Smelter Look-up'!$C$4,$V68-4,0)&amp;"")</f>
        <v>Hunan Chunchang Nonferrous Metals Co., Ltd.</v>
      </c>
      <c r="S68" s="225" t="str">
        <f t="shared" ca="1" si="6"/>
        <v>CN</v>
      </c>
      <c r="T68" s="225" t="str">
        <f ca="1">IF(B68="","",IF(ISERROR(MATCH($J68,SorP!$B$1:$B$6230,0)),"",INDIRECT("'SorP'!$A$"&amp;MATCH($J68,SorP!$B$1:$B$6230,0))))</f>
        <v>CN-HN</v>
      </c>
      <c r="U68" s="241"/>
      <c r="V68" s="275">
        <f ca="1">IF(C68="",NA(),MATCH($B68&amp;$C68,'Smelter Look-up'!$J:$J,0))</f>
        <v>522</v>
      </c>
      <c r="W68" s="276"/>
      <c r="X68" s="276">
        <f t="shared" ca="1" si="7"/>
        <v>0</v>
      </c>
      <c r="Y68" s="276"/>
      <c r="Z68" s="276"/>
      <c r="AB68" s="278" t="str">
        <f t="shared" ca="1" si="8"/>
        <v>TungstenHunan Chunchang Nonferrous Metals Co., Ltd.</v>
      </c>
    </row>
    <row r="69" spans="1:28" s="277" customFormat="1" ht="63.75">
      <c r="A69" s="216" t="s">
        <v>1451</v>
      </c>
      <c r="B69" s="217" t="str">
        <f ca="1">IF(LEN(A69)=0,"",INDEX('Smelter Look-up'!$A:$A,MATCH($A69,'Smelter Look-up'!$E:$E,0)))</f>
        <v>Tungsten</v>
      </c>
      <c r="C69" s="221" t="str">
        <f ca="1">IF(LEN(A69)=0,"",INDEX('Smelter Look-up'!$C:$C,MATCH($A69,'Smelter Look-up'!$E:$E,0)))</f>
        <v>H.C. Starck Tungsten GmbH</v>
      </c>
      <c r="D69" s="283"/>
      <c r="E69" s="217" t="str">
        <f ca="1">IF(ISERROR($V69),"",OFFSET('Smelter Look-up'!$D$4,$V69-4,0)&amp;"")</f>
        <v>GERMANY</v>
      </c>
      <c r="F69" s="217" t="str">
        <f ca="1">IF(ISERROR($V69),"",OFFSET('Smelter Look-up'!$E$4,$V69-4,0))</f>
        <v>CID002541</v>
      </c>
      <c r="G69" s="217" t="str">
        <f ca="1">IF(C69=$X$4,"Enter smelter details",IF(ISERROR($V69),"",OFFSET('Smelter Look-up'!$F$4,$V69-4,0)))</f>
        <v>RMI</v>
      </c>
      <c r="H69" s="218">
        <f ca="1">IF(ISERROR($V69),"",OFFSET('Smelter Look-up'!$G$4,$V69-4,0))</f>
        <v>0</v>
      </c>
      <c r="I69" s="219" t="str">
        <f ca="1">IF(ISERROR($V69),"",OFFSET('Smelter Look-up'!$H$4,$V69-4,0))</f>
        <v>Goslar</v>
      </c>
      <c r="J69" s="219" t="str">
        <f ca="1">IF(ISERROR($V69),"",OFFSET('Smelter Look-up'!$I$4,$V69-4,0))</f>
        <v>Niedersachsen</v>
      </c>
      <c r="K69" s="273"/>
      <c r="L69" s="273"/>
      <c r="M69" s="273"/>
      <c r="N69" s="273"/>
      <c r="O69" s="273"/>
      <c r="P69" s="220"/>
      <c r="Q69" s="274"/>
      <c r="R69" s="217" t="str">
        <f ca="1">IF(ISERROR($V69),"",OFFSET('Smelter Look-up'!$C$4,$V69-4,0)&amp;"")</f>
        <v>H.C. Starck Tungsten GmbH</v>
      </c>
      <c r="S69" s="225" t="str">
        <f t="shared" ref="S69" ca="1" si="9">IF(B69="","",IF(ISERROR(MATCH($E69,CL,0)),"Unknown",INDIRECT("'C'!$A$"&amp;MATCH($E69,CL,0)+1)))</f>
        <v>DE</v>
      </c>
      <c r="T69" s="225" t="str">
        <f ca="1">IF(B69="","",IF(ISERROR(MATCH($J69,SorP!$B$1:$B$6230,0)),"",INDIRECT("'SorP'!$A$"&amp;MATCH($J69,SorP!$B$1:$B$6230,0))))</f>
        <v>DE-NI</v>
      </c>
      <c r="U69" s="241"/>
      <c r="V69" s="275">
        <f ca="1">IF(C69="",NA(),MATCH($B69&amp;$C69,'Smelter Look-up'!$J:$J,0))</f>
        <v>516</v>
      </c>
      <c r="W69" s="276"/>
      <c r="X69" s="276">
        <f t="shared" ref="X69" ca="1" si="10">IF(AND(C69="Smelter not listed",OR(LEN(D69)=0,LEN(E69)=0)),1,0)</f>
        <v>0</v>
      </c>
      <c r="Y69" s="276"/>
      <c r="Z69" s="276"/>
      <c r="AB69" s="278" t="str">
        <f t="shared" ref="AB69" ca="1" si="11">B69&amp;C69</f>
        <v>TungstenH.C. Starck Tungsten GmbH</v>
      </c>
    </row>
    <row r="70" spans="1:28" s="277" customFormat="1" ht="114.75">
      <c r="A70" s="216" t="s">
        <v>1454</v>
      </c>
      <c r="B70" s="217" t="str">
        <f ca="1">IF(LEN(A70)=0,"",INDEX('Smelter Look-up'!$A:$A,MATCH($A70,'Smelter Look-up'!$E:$E,0)))</f>
        <v>Tungsten</v>
      </c>
      <c r="C70" s="221" t="str">
        <f ca="1">IF(LEN(A70)=0,"",INDEX('Smelter Look-up'!$C:$C,MATCH($A70,'Smelter Look-up'!$E:$E,0)))</f>
        <v>Jiangwu H.C. Starck Tungsten Products Co., Ltd.</v>
      </c>
      <c r="D70" s="283"/>
      <c r="E70" s="217" t="str">
        <f ca="1">IF(ISERROR($V70),"",OFFSET('Smelter Look-up'!$D$4,$V70-4,0)&amp;"")</f>
        <v>CHINA</v>
      </c>
      <c r="F70" s="217" t="str">
        <f ca="1">IF(ISERROR($V70),"",OFFSET('Smelter Look-up'!$E$4,$V70-4,0))</f>
        <v>CID002551</v>
      </c>
      <c r="G70" s="217" t="str">
        <f ca="1">IF(C70=$X$4,"Enter smelter details",IF(ISERROR($V70),"",OFFSET('Smelter Look-up'!$F$4,$V70-4,0)))</f>
        <v>RMI</v>
      </c>
      <c r="H70" s="218">
        <f ca="1">IF(ISERROR($V70),"",OFFSET('Smelter Look-up'!$G$4,$V70-4,0))</f>
        <v>0</v>
      </c>
      <c r="I70" s="219" t="str">
        <f ca="1">IF(ISERROR($V70),"",OFFSET('Smelter Look-up'!$H$4,$V70-4,0))</f>
        <v>Ganzhou</v>
      </c>
      <c r="J70" s="219" t="str">
        <f ca="1">IF(ISERROR($V70),"",OFFSET('Smelter Look-up'!$I$4,$V70-4,0))</f>
        <v>Jiangxi Sheng</v>
      </c>
      <c r="K70" s="273"/>
      <c r="L70" s="273"/>
      <c r="M70" s="273"/>
      <c r="N70" s="273"/>
      <c r="O70" s="273"/>
      <c r="P70" s="220"/>
      <c r="Q70" s="274"/>
      <c r="R70" s="217" t="str">
        <f ca="1">IF(ISERROR($V70),"",OFFSET('Smelter Look-up'!$C$4,$V70-4,0)&amp;"")</f>
        <v>Jiangwu H.C. Starck Tungsten Products Co., Ltd.</v>
      </c>
      <c r="S70" s="225" t="str">
        <f t="shared" ref="S70:S101" ca="1" si="12">IF(B70="","",IF(ISERROR(MATCH($E70,CL,0)),"Unknown",INDIRECT("'C'!$A$"&amp;MATCH($E70,CL,0)+1)))</f>
        <v>CN</v>
      </c>
      <c r="T70" s="225" t="str">
        <f ca="1">IF(B70="","",IF(ISERROR(MATCH($J70,SorP!$B$1:$B$6230,0)),"",INDIRECT("'SorP'!$A$"&amp;MATCH($J70,SorP!$B$1:$B$6230,0))))</f>
        <v>CN-JX</v>
      </c>
      <c r="U70" s="241"/>
      <c r="V70" s="275">
        <f ca="1">IF(C70="",NA(),MATCH($B70&amp;$C70,'Smelter Look-up'!$J:$J,0))</f>
        <v>526</v>
      </c>
      <c r="W70" s="276"/>
      <c r="X70" s="276">
        <f t="shared" ref="X70:X101" ca="1" si="13">IF(AND(C70="Smelter not listed",OR(LEN(D70)=0,LEN(E70)=0)),1,0)</f>
        <v>0</v>
      </c>
      <c r="Y70" s="276"/>
      <c r="Z70" s="276"/>
      <c r="AB70" s="278" t="str">
        <f t="shared" ref="AB70:AB101" ca="1" si="14">B70&amp;C70</f>
        <v>TungstenJiangwu H.C. Starck Tungsten Products Co., Ltd.</v>
      </c>
    </row>
    <row r="71" spans="1:28" s="277" customFormat="1" ht="38.25">
      <c r="A71" s="216" t="s">
        <v>810</v>
      </c>
      <c r="B71" s="217" t="str">
        <f ca="1">IF(LEN(A71)=0,"",INDEX('Smelter Look-up'!$A:$A,MATCH($A71,'Smelter Look-up'!$E:$E,0)))</f>
        <v>Tungsten</v>
      </c>
      <c r="C71" s="221" t="str">
        <f ca="1">IF(LEN(A71)=0,"",INDEX('Smelter Look-up'!$C:$C,MATCH($A71,'Smelter Look-up'!$E:$E,0)))</f>
        <v>A.L.M.T. Corp.</v>
      </c>
      <c r="D71" s="283"/>
      <c r="E71" s="217" t="str">
        <f ca="1">IF(ISERROR($V71),"",OFFSET('Smelter Look-up'!$D$4,$V71-4,0)&amp;"")</f>
        <v>JAPAN</v>
      </c>
      <c r="F71" s="217" t="str">
        <f ca="1">IF(ISERROR($V71),"",OFFSET('Smelter Look-up'!$E$4,$V71-4,0))</f>
        <v>CID000004</v>
      </c>
      <c r="G71" s="217" t="str">
        <f ca="1">IF(C71=$X$4,"Enter smelter details",IF(ISERROR($V71),"",OFFSET('Smelter Look-up'!$F$4,$V71-4,0)))</f>
        <v>RMI</v>
      </c>
      <c r="H71" s="218">
        <f ca="1">IF(ISERROR($V71),"",OFFSET('Smelter Look-up'!$G$4,$V71-4,0))</f>
        <v>0</v>
      </c>
      <c r="I71" s="219" t="str">
        <f ca="1">IF(ISERROR($V71),"",OFFSET('Smelter Look-up'!$H$4,$V71-4,0))</f>
        <v>Toyama City</v>
      </c>
      <c r="J71" s="219" t="str">
        <f ca="1">IF(ISERROR($V71),"",OFFSET('Smelter Look-up'!$I$4,$V71-4,0))</f>
        <v>Toyama</v>
      </c>
      <c r="K71" s="273"/>
      <c r="L71" s="273"/>
      <c r="M71" s="273"/>
      <c r="N71" s="273"/>
      <c r="O71" s="273"/>
      <c r="P71" s="220"/>
      <c r="Q71" s="274"/>
      <c r="R71" s="217" t="str">
        <f ca="1">IF(ISERROR($V71),"",OFFSET('Smelter Look-up'!$C$4,$V71-4,0)&amp;"")</f>
        <v>A.L.M.T. Corp.</v>
      </c>
      <c r="S71" s="225" t="str">
        <f t="shared" ca="1" si="12"/>
        <v>JP</v>
      </c>
      <c r="T71" s="225" t="str">
        <f ca="1">IF(B71="","",IF(ISERROR(MATCH($J71,SorP!$B$1:$B$6230,0)),"",INDIRECT("'SorP'!$A$"&amp;MATCH($J71,SorP!$B$1:$B$6230,0))))</f>
        <v>JP-16</v>
      </c>
      <c r="U71" s="241"/>
      <c r="V71" s="275">
        <f ca="1">IF(C71="",NA(),MATCH($B71&amp;$C71,'Smelter Look-up'!$J:$J,0))</f>
        <v>486</v>
      </c>
      <c r="W71" s="276"/>
      <c r="X71" s="276">
        <f t="shared" ca="1" si="13"/>
        <v>0</v>
      </c>
      <c r="Y71" s="276"/>
      <c r="Z71" s="276"/>
      <c r="AB71" s="278" t="str">
        <f t="shared" ca="1" si="14"/>
        <v>TungstenA.L.M.T. Corp.</v>
      </c>
    </row>
    <row r="72" spans="1:28" s="277" customFormat="1" ht="89.25">
      <c r="A72" s="216" t="s">
        <v>822</v>
      </c>
      <c r="B72" s="217" t="str">
        <f ca="1">IF(LEN(A72)=0,"",INDEX('Smelter Look-up'!$A:$A,MATCH($A72,'Smelter Look-up'!$E:$E,0)))</f>
        <v>Tungsten</v>
      </c>
      <c r="C72" s="221" t="str">
        <f ca="1">IF(LEN(A72)=0,"",INDEX('Smelter Look-up'!$C:$C,MATCH($A72,'Smelter Look-up'!$E:$E,0)))</f>
        <v>Wolfram Bergbau und Hutten AG</v>
      </c>
      <c r="D72" s="283"/>
      <c r="E72" s="217" t="str">
        <f ca="1">IF(ISERROR($V72),"",OFFSET('Smelter Look-up'!$D$4,$V72-4,0)&amp;"")</f>
        <v>AUSTRIA</v>
      </c>
      <c r="F72" s="217" t="str">
        <f ca="1">IF(ISERROR($V72),"",OFFSET('Smelter Look-up'!$E$4,$V72-4,0))</f>
        <v>CID002044</v>
      </c>
      <c r="G72" s="217" t="str">
        <f ca="1">IF(C72=$X$4,"Enter smelter details",IF(ISERROR($V72),"",OFFSET('Smelter Look-up'!$F$4,$V72-4,0)))</f>
        <v>RMI</v>
      </c>
      <c r="H72" s="218">
        <f ca="1">IF(ISERROR($V72),"",OFFSET('Smelter Look-up'!$G$4,$V72-4,0))</f>
        <v>0</v>
      </c>
      <c r="I72" s="219" t="str">
        <f ca="1">IF(ISERROR($V72),"",OFFSET('Smelter Look-up'!$H$4,$V72-4,0))</f>
        <v>St. Martin i-S</v>
      </c>
      <c r="J72" s="219" t="str">
        <f ca="1">IF(ISERROR($V72),"",OFFSET('Smelter Look-up'!$I$4,$V72-4,0))</f>
        <v>Steiermark</v>
      </c>
      <c r="K72" s="273"/>
      <c r="L72" s="273"/>
      <c r="M72" s="273"/>
      <c r="N72" s="273"/>
      <c r="O72" s="273"/>
      <c r="P72" s="220"/>
      <c r="Q72" s="274"/>
      <c r="R72" s="217" t="str">
        <f ca="1">IF(ISERROR($V72),"",OFFSET('Smelter Look-up'!$C$4,$V72-4,0)&amp;"")</f>
        <v>Wolfram Bergbau und Hutten AG</v>
      </c>
      <c r="S72" s="225" t="str">
        <f t="shared" ca="1" si="12"/>
        <v>AT</v>
      </c>
      <c r="T72" s="225" t="str">
        <f ca="1">IF(B72="","",IF(ISERROR(MATCH($J72,SorP!$B$1:$B$6230,0)),"",INDIRECT("'SorP'!$A$"&amp;MATCH($J72,SorP!$B$1:$B$6230,0))))</f>
        <v>AT-6</v>
      </c>
      <c r="U72" s="241"/>
      <c r="V72" s="275">
        <f ca="1">IF(C72="",NA(),MATCH($B72&amp;$C72,'Smelter Look-up'!$J:$J,0))</f>
        <v>553</v>
      </c>
      <c r="W72" s="276"/>
      <c r="X72" s="276">
        <f t="shared" ca="1" si="13"/>
        <v>0</v>
      </c>
      <c r="Y72" s="276"/>
      <c r="Z72" s="276"/>
      <c r="AB72" s="278" t="str">
        <f t="shared" ca="1" si="14"/>
        <v>TungstenWolfram Bergbau und Hutten AG</v>
      </c>
    </row>
    <row r="73" spans="1:28" s="277" customFormat="1" ht="114.75">
      <c r="A73" s="216" t="s">
        <v>145</v>
      </c>
      <c r="B73" s="217" t="str">
        <f ca="1">IF(LEN(A73)=0,"",INDEX('Smelter Look-up'!$A:$A,MATCH($A73,'Smelter Look-up'!$E:$E,0)))</f>
        <v>Tungsten</v>
      </c>
      <c r="C73" s="221" t="str">
        <f ca="1">IF(LEN(A73)=0,"",INDEX('Smelter Look-up'!$C:$C,MATCH($A73,'Smelter Look-up'!$E:$E,0)))</f>
        <v>Jiangxi Xinsheng Tungsten Industry Co., Ltd.</v>
      </c>
      <c r="D73" s="283"/>
      <c r="E73" s="217" t="str">
        <f ca="1">IF(ISERROR($V73),"",OFFSET('Smelter Look-up'!$D$4,$V73-4,0)&amp;"")</f>
        <v>CHINA</v>
      </c>
      <c r="F73" s="217" t="str">
        <f ca="1">IF(ISERROR($V73),"",OFFSET('Smelter Look-up'!$E$4,$V73-4,0))</f>
        <v>CID002317</v>
      </c>
      <c r="G73" s="217" t="str">
        <f ca="1">IF(C73=$X$4,"Enter smelter details",IF(ISERROR($V73),"",OFFSET('Smelter Look-up'!$F$4,$V73-4,0)))</f>
        <v>RMI</v>
      </c>
      <c r="H73" s="218">
        <f ca="1">IF(ISERROR($V73),"",OFFSET('Smelter Look-up'!$G$4,$V73-4,0))</f>
        <v>0</v>
      </c>
      <c r="I73" s="219" t="str">
        <f ca="1">IF(ISERROR($V73),"",OFFSET('Smelter Look-up'!$H$4,$V73-4,0))</f>
        <v>Ganzhou</v>
      </c>
      <c r="J73" s="219" t="str">
        <f ca="1">IF(ISERROR($V73),"",OFFSET('Smelter Look-up'!$I$4,$V73-4,0))</f>
        <v>Jiangxi Sheng</v>
      </c>
      <c r="K73" s="273"/>
      <c r="L73" s="273"/>
      <c r="M73" s="273"/>
      <c r="N73" s="273"/>
      <c r="O73" s="273"/>
      <c r="P73" s="220"/>
      <c r="Q73" s="274"/>
      <c r="R73" s="217" t="str">
        <f ca="1">IF(ISERROR($V73),"",OFFSET('Smelter Look-up'!$C$4,$V73-4,0)&amp;"")</f>
        <v>Jiangxi Xinsheng Tungsten Industry Co., Ltd.</v>
      </c>
      <c r="S73" s="225" t="str">
        <f t="shared" ca="1" si="12"/>
        <v>CN</v>
      </c>
      <c r="T73" s="225" t="str">
        <f ca="1">IF(B73="","",IF(ISERROR(MATCH($J73,SorP!$B$1:$B$6230,0)),"",INDIRECT("'SorP'!$A$"&amp;MATCH($J73,SorP!$B$1:$B$6230,0))))</f>
        <v>CN-JX</v>
      </c>
      <c r="U73" s="241"/>
      <c r="V73" s="275">
        <f ca="1">IF(C73="",NA(),MATCH($B73&amp;$C73,'Smelter Look-up'!$J:$J,0))</f>
        <v>534</v>
      </c>
      <c r="W73" s="276"/>
      <c r="X73" s="276">
        <f t="shared" ca="1" si="13"/>
        <v>0</v>
      </c>
      <c r="Y73" s="276"/>
      <c r="Z73" s="276"/>
      <c r="AB73" s="278" t="str">
        <f t="shared" ca="1" si="14"/>
        <v>TungstenJiangxi Xinsheng Tungsten Industry Co., Ltd.</v>
      </c>
    </row>
    <row r="74" spans="1:28" s="277" customFormat="1" ht="76.5">
      <c r="A74" s="216" t="s">
        <v>141</v>
      </c>
      <c r="B74" s="217" t="str">
        <f ca="1">IF(LEN(A74)=0,"",INDEX('Smelter Look-up'!$A:$A,MATCH($A74,'Smelter Look-up'!$E:$E,0)))</f>
        <v>Tungsten</v>
      </c>
      <c r="C74" s="221" t="str">
        <f ca="1">IF(LEN(A74)=0,"",INDEX('Smelter Look-up'!$C:$C,MATCH($A74,'Smelter Look-up'!$E:$E,0)))</f>
        <v>Jiangxi Gan Bei Tungsten Co., Ltd.</v>
      </c>
      <c r="D74" s="283"/>
      <c r="E74" s="217" t="str">
        <f ca="1">IF(ISERROR($V74),"",OFFSET('Smelter Look-up'!$D$4,$V74-4,0)&amp;"")</f>
        <v>CHINA</v>
      </c>
      <c r="F74" s="217" t="str">
        <f ca="1">IF(ISERROR($V74),"",OFFSET('Smelter Look-up'!$E$4,$V74-4,0))</f>
        <v>CID002321</v>
      </c>
      <c r="G74" s="217" t="str">
        <f ca="1">IF(C74=$X$4,"Enter smelter details",IF(ISERROR($V74),"",OFFSET('Smelter Look-up'!$F$4,$V74-4,0)))</f>
        <v>RMI</v>
      </c>
      <c r="H74" s="218">
        <f ca="1">IF(ISERROR($V74),"",OFFSET('Smelter Look-up'!$G$4,$V74-4,0))</f>
        <v>0</v>
      </c>
      <c r="I74" s="219" t="str">
        <f ca="1">IF(ISERROR($V74),"",OFFSET('Smelter Look-up'!$H$4,$V74-4,0))</f>
        <v>Xiushui</v>
      </c>
      <c r="J74" s="219" t="str">
        <f ca="1">IF(ISERROR($V74),"",OFFSET('Smelter Look-up'!$I$4,$V74-4,0))</f>
        <v>Jiangxi Sheng</v>
      </c>
      <c r="K74" s="273"/>
      <c r="L74" s="273"/>
      <c r="M74" s="273"/>
      <c r="N74" s="273"/>
      <c r="O74" s="273"/>
      <c r="P74" s="220"/>
      <c r="Q74" s="274"/>
      <c r="R74" s="217" t="str">
        <f ca="1">IF(ISERROR($V74),"",OFFSET('Smelter Look-up'!$C$4,$V74-4,0)&amp;"")</f>
        <v>Jiangxi Gan Bei Tungsten Co., Ltd.</v>
      </c>
      <c r="S74" s="225" t="str">
        <f t="shared" ca="1" si="12"/>
        <v>CN</v>
      </c>
      <c r="T74" s="225" t="str">
        <f ca="1">IF(B74="","",IF(ISERROR(MATCH($J74,SorP!$B$1:$B$6230,0)),"",INDIRECT("'SorP'!$A$"&amp;MATCH($J74,SorP!$B$1:$B$6230,0))))</f>
        <v>CN-JX</v>
      </c>
      <c r="U74" s="241"/>
      <c r="V74" s="275">
        <f ca="1">IF(C74="",NA(),MATCH($B74&amp;$C74,'Smelter Look-up'!$J:$J,0))</f>
        <v>528</v>
      </c>
      <c r="W74" s="276"/>
      <c r="X74" s="276">
        <f t="shared" ca="1" si="13"/>
        <v>0</v>
      </c>
      <c r="Y74" s="276"/>
      <c r="Z74" s="276"/>
      <c r="AB74" s="278" t="str">
        <f t="shared" ca="1" si="14"/>
        <v>TungstenJiangxi Gan Bei Tungsten Co., Ltd.</v>
      </c>
    </row>
    <row r="75" spans="1:28" s="277" customFormat="1" ht="89.25">
      <c r="A75" s="216" t="s">
        <v>403</v>
      </c>
      <c r="B75" s="217" t="str">
        <f ca="1">IF(LEN(A75)=0,"",INDEX('Smelter Look-up'!$A:$A,MATCH($A75,'Smelter Look-up'!$E:$E,0)))</f>
        <v>Tungsten</v>
      </c>
      <c r="C75" s="221" t="str">
        <f ca="1">IF(LEN(A75)=0,"",INDEX('Smelter Look-up'!$C:$C,MATCH($A75,'Smelter Look-up'!$E:$E,0)))</f>
        <v>Ganzhou Seadragon W &amp; Mo Co., Ltd.</v>
      </c>
      <c r="D75" s="283"/>
      <c r="E75" s="217" t="str">
        <f ca="1">IF(ISERROR($V75),"",OFFSET('Smelter Look-up'!$D$4,$V75-4,0)&amp;"")</f>
        <v>CHINA</v>
      </c>
      <c r="F75" s="217" t="str">
        <f ca="1">IF(ISERROR($V75),"",OFFSET('Smelter Look-up'!$E$4,$V75-4,0))</f>
        <v>CID002494</v>
      </c>
      <c r="G75" s="217" t="str">
        <f ca="1">IF(C75=$X$4,"Enter smelter details",IF(ISERROR($V75),"",OFFSET('Smelter Look-up'!$F$4,$V75-4,0)))</f>
        <v>RMI</v>
      </c>
      <c r="H75" s="218">
        <f ca="1">IF(ISERROR($V75),"",OFFSET('Smelter Look-up'!$G$4,$V75-4,0))</f>
        <v>0</v>
      </c>
      <c r="I75" s="219" t="str">
        <f ca="1">IF(ISERROR($V75),"",OFFSET('Smelter Look-up'!$H$4,$V75-4,0))</f>
        <v>Ganzhou</v>
      </c>
      <c r="J75" s="219" t="str">
        <f ca="1">IF(ISERROR($V75),"",OFFSET('Smelter Look-up'!$I$4,$V75-4,0))</f>
        <v>Jiangxi Sheng</v>
      </c>
      <c r="K75" s="273"/>
      <c r="L75" s="273"/>
      <c r="M75" s="273"/>
      <c r="N75" s="273"/>
      <c r="O75" s="273"/>
      <c r="P75" s="220"/>
      <c r="Q75" s="274"/>
      <c r="R75" s="217" t="str">
        <f ca="1">IF(ISERROR($V75),"",OFFSET('Smelter Look-up'!$C$4,$V75-4,0)&amp;"")</f>
        <v>Ganzhou Seadragon W &amp; Mo Co., Ltd.</v>
      </c>
      <c r="S75" s="225" t="str">
        <f t="shared" ca="1" si="12"/>
        <v>CN</v>
      </c>
      <c r="T75" s="225" t="str">
        <f ca="1">IF(B75="","",IF(ISERROR(MATCH($J75,SorP!$B$1:$B$6230,0)),"",INDIRECT("'SorP'!$A$"&amp;MATCH($J75,SorP!$B$1:$B$6230,0))))</f>
        <v>CN-JX</v>
      </c>
      <c r="U75" s="241"/>
      <c r="V75" s="275">
        <f ca="1">IF(C75="",NA(),MATCH($B75&amp;$C75,'Smelter Look-up'!$J:$J,0))</f>
        <v>510</v>
      </c>
      <c r="W75" s="276"/>
      <c r="X75" s="276">
        <f t="shared" ca="1" si="13"/>
        <v>0</v>
      </c>
      <c r="Y75" s="276"/>
      <c r="Z75" s="276"/>
      <c r="AB75" s="278" t="str">
        <f t="shared" ca="1" si="14"/>
        <v>TungstenGanzhou Seadragon W &amp; Mo Co., Ltd.</v>
      </c>
    </row>
    <row r="76" spans="1:28" s="277" customFormat="1" ht="114.75">
      <c r="A76" s="216" t="s">
        <v>1429</v>
      </c>
      <c r="B76" s="217" t="str">
        <f ca="1">IF(LEN(A76)=0,"",INDEX('Smelter Look-up'!$A:$A,MATCH($A76,'Smelter Look-up'!$E:$E,0)))</f>
        <v>Tungsten</v>
      </c>
      <c r="C76" s="221" t="str">
        <f ca="1">IF(LEN(A76)=0,"",INDEX('Smelter Look-up'!$C:$C,MATCH($A76,'Smelter Look-up'!$E:$E,0)))</f>
        <v>Chenzhou Diamond Tungsten Products Co., Ltd.</v>
      </c>
      <c r="D76" s="283"/>
      <c r="E76" s="217" t="str">
        <f ca="1">IF(ISERROR($V76),"",OFFSET('Smelter Look-up'!$D$4,$V76-4,0)&amp;"")</f>
        <v>CHINA</v>
      </c>
      <c r="F76" s="217" t="str">
        <f ca="1">IF(ISERROR($V76),"",OFFSET('Smelter Look-up'!$E$4,$V76-4,0))</f>
        <v>CID002513</v>
      </c>
      <c r="G76" s="217" t="str">
        <f ca="1">IF(C76=$X$4,"Enter smelter details",IF(ISERROR($V76),"",OFFSET('Smelter Look-up'!$F$4,$V76-4,0)))</f>
        <v>RMI</v>
      </c>
      <c r="H76" s="218">
        <f ca="1">IF(ISERROR($V76),"",OFFSET('Smelter Look-up'!$G$4,$V76-4,0))</f>
        <v>0</v>
      </c>
      <c r="I76" s="219" t="str">
        <f ca="1">IF(ISERROR($V76),"",OFFSET('Smelter Look-up'!$H$4,$V76-4,0))</f>
        <v>Chenzhou</v>
      </c>
      <c r="J76" s="219" t="str">
        <f ca="1">IF(ISERROR($V76),"",OFFSET('Smelter Look-up'!$I$4,$V76-4,0))</f>
        <v>Hunan Sheng</v>
      </c>
      <c r="K76" s="273"/>
      <c r="L76" s="273"/>
      <c r="M76" s="273"/>
      <c r="N76" s="273"/>
      <c r="O76" s="273"/>
      <c r="P76" s="220"/>
      <c r="Q76" s="274"/>
      <c r="R76" s="217" t="str">
        <f ca="1">IF(ISERROR($V76),"",OFFSET('Smelter Look-up'!$C$4,$V76-4,0)&amp;"")</f>
        <v>Chenzhou Diamond Tungsten Products Co., Ltd.</v>
      </c>
      <c r="S76" s="225" t="str">
        <f t="shared" ca="1" si="12"/>
        <v>CN</v>
      </c>
      <c r="T76" s="225" t="str">
        <f ca="1">IF(B76="","",IF(ISERROR(MATCH($J76,SorP!$B$1:$B$6230,0)),"",INDIRECT("'SorP'!$A$"&amp;MATCH($J76,SorP!$B$1:$B$6230,0))))</f>
        <v>CN-HN</v>
      </c>
      <c r="U76" s="241"/>
      <c r="V76" s="275">
        <f ca="1">IF(C76="",NA(),MATCH($B76&amp;$C76,'Smelter Look-up'!$J:$J,0))</f>
        <v>497</v>
      </c>
      <c r="W76" s="276"/>
      <c r="X76" s="276">
        <f t="shared" ca="1" si="13"/>
        <v>0</v>
      </c>
      <c r="Y76" s="276"/>
      <c r="Z76" s="276"/>
      <c r="AB76" s="278" t="str">
        <f t="shared" ca="1" si="14"/>
        <v>TungstenChenzhou Diamond Tungsten Products Co., Ltd.</v>
      </c>
    </row>
    <row r="77" spans="1:28" s="277" customFormat="1" ht="89.25">
      <c r="A77" s="216" t="s">
        <v>1455</v>
      </c>
      <c r="B77" s="217" t="str">
        <f ca="1">IF(LEN(A77)=0,"",INDEX('Smelter Look-up'!$A:$A,MATCH($A77,'Smelter Look-up'!$E:$E,0)))</f>
        <v>Tungsten</v>
      </c>
      <c r="C77" s="221" t="str">
        <f ca="1">IF(LEN(A77)=0,"",INDEX('Smelter Look-up'!$C:$C,MATCH($A77,'Smelter Look-up'!$E:$E,0)))</f>
        <v>Masan Tungsten Chemical LLC (MTC)</v>
      </c>
      <c r="D77" s="283"/>
      <c r="E77" s="217" t="str">
        <f ca="1">IF(ISERROR($V77),"",OFFSET('Smelter Look-up'!$D$4,$V77-4,0)&amp;"")</f>
        <v>VIET NAM</v>
      </c>
      <c r="F77" s="217" t="str">
        <f ca="1">IF(ISERROR($V77),"",OFFSET('Smelter Look-up'!$E$4,$V77-4,0))</f>
        <v>CID002543</v>
      </c>
      <c r="G77" s="217" t="str">
        <f ca="1">IF(C77=$X$4,"Enter smelter details",IF(ISERROR($V77),"",OFFSET('Smelter Look-up'!$F$4,$V77-4,0)))</f>
        <v>RMI</v>
      </c>
      <c r="H77" s="218">
        <f ca="1">IF(ISERROR($V77),"",OFFSET('Smelter Look-up'!$G$4,$V77-4,0))</f>
        <v>0</v>
      </c>
      <c r="I77" s="219" t="str">
        <f ca="1">IF(ISERROR($V77),"",OFFSET('Smelter Look-up'!$H$4,$V77-4,0))</f>
        <v>Dai Tu</v>
      </c>
      <c r="J77" s="219" t="str">
        <f ca="1">IF(ISERROR($V77),"",OFFSET('Smelter Look-up'!$I$4,$V77-4,0))</f>
        <v>Thái Nguyên</v>
      </c>
      <c r="K77" s="273"/>
      <c r="L77" s="273"/>
      <c r="M77" s="273"/>
      <c r="N77" s="273"/>
      <c r="O77" s="273"/>
      <c r="P77" s="220"/>
      <c r="Q77" s="274"/>
      <c r="R77" s="217" t="str">
        <f ca="1">IF(ISERROR($V77),"",OFFSET('Smelter Look-up'!$C$4,$V77-4,0)&amp;"")</f>
        <v>Masan Tungsten Chemical LLC (MTC)</v>
      </c>
      <c r="S77" s="225" t="str">
        <f t="shared" ca="1" si="12"/>
        <v>VN</v>
      </c>
      <c r="T77" s="225" t="str">
        <f ca="1">IF(B77="","",IF(ISERROR(MATCH($J77,SorP!$B$1:$B$6230,0)),"",INDIRECT("'SorP'!$A$"&amp;MATCH($J77,SorP!$B$1:$B$6230,0))))</f>
        <v>VN-69</v>
      </c>
      <c r="U77" s="241"/>
      <c r="V77" s="275">
        <f ca="1">IF(C77="",NA(),MATCH($B77&amp;$C77,'Smelter Look-up'!$J:$J,0))</f>
        <v>542</v>
      </c>
      <c r="W77" s="276"/>
      <c r="X77" s="276">
        <f t="shared" ca="1" si="13"/>
        <v>0</v>
      </c>
      <c r="Y77" s="276"/>
      <c r="Z77" s="276"/>
      <c r="AB77" s="278" t="str">
        <f t="shared" ca="1" si="14"/>
        <v>TungstenMasan Tungsten Chemical LLC (MTC)</v>
      </c>
    </row>
    <row r="78" spans="1:28" s="277" customFormat="1" ht="63.75">
      <c r="A78" s="216" t="s">
        <v>1889</v>
      </c>
      <c r="B78" s="217" t="str">
        <f ca="1">IF(LEN(A78)=0,"",INDEX('Smelter Look-up'!$A:$A,MATCH($A78,'Smelter Look-up'!$E:$E,0)))</f>
        <v>Tungsten</v>
      </c>
      <c r="C78" s="221" t="str">
        <f ca="1">IF(LEN(A78)=0,"",INDEX('Smelter Look-up'!$C:$C,MATCH($A78,'Smelter Look-up'!$E:$E,0)))</f>
        <v>Niagara Refining LLC</v>
      </c>
      <c r="D78" s="283"/>
      <c r="E78" s="217" t="str">
        <f ca="1">IF(ISERROR($V78),"",OFFSET('Smelter Look-up'!$D$4,$V78-4,0)&amp;"")</f>
        <v>UNITED STATES OF AMERICA</v>
      </c>
      <c r="F78" s="217" t="str">
        <f ca="1">IF(ISERROR($V78),"",OFFSET('Smelter Look-up'!$E$4,$V78-4,0))</f>
        <v>CID002589</v>
      </c>
      <c r="G78" s="217" t="str">
        <f ca="1">IF(C78=$X$4,"Enter smelter details",IF(ISERROR($V78),"",OFFSET('Smelter Look-up'!$F$4,$V78-4,0)))</f>
        <v>RMI</v>
      </c>
      <c r="H78" s="218">
        <f ca="1">IF(ISERROR($V78),"",OFFSET('Smelter Look-up'!$G$4,$V78-4,0))</f>
        <v>0</v>
      </c>
      <c r="I78" s="219" t="str">
        <f ca="1">IF(ISERROR($V78),"",OFFSET('Smelter Look-up'!$H$4,$V78-4,0))</f>
        <v>Depew</v>
      </c>
      <c r="J78" s="219" t="str">
        <f ca="1">IF(ISERROR($V78),"",OFFSET('Smelter Look-up'!$I$4,$V78-4,0))</f>
        <v>New York</v>
      </c>
      <c r="K78" s="273"/>
      <c r="L78" s="273"/>
      <c r="M78" s="273"/>
      <c r="N78" s="273"/>
      <c r="O78" s="273"/>
      <c r="P78" s="220"/>
      <c r="Q78" s="274"/>
      <c r="R78" s="217" t="str">
        <f ca="1">IF(ISERROR($V78),"",OFFSET('Smelter Look-up'!$C$4,$V78-4,0)&amp;"")</f>
        <v>Niagara Refining LLC</v>
      </c>
      <c r="S78" s="225" t="str">
        <f t="shared" ca="1" si="12"/>
        <v>US</v>
      </c>
      <c r="T78" s="225" t="str">
        <f ca="1">IF(B78="","",IF(ISERROR(MATCH($J78,SorP!$B$1:$B$6230,0)),"",INDIRECT("'SorP'!$A$"&amp;MATCH($J78,SorP!$B$1:$B$6230,0))))</f>
        <v>US-NY</v>
      </c>
      <c r="U78" s="241"/>
      <c r="V78" s="275">
        <f ca="1">IF(C78="",NA(),MATCH($B78&amp;$C78,'Smelter Look-up'!$J:$J,0))</f>
        <v>544</v>
      </c>
      <c r="W78" s="276"/>
      <c r="X78" s="276">
        <f t="shared" ca="1" si="13"/>
        <v>0</v>
      </c>
      <c r="Y78" s="276"/>
      <c r="Z78" s="276"/>
      <c r="AB78" s="278" t="str">
        <f t="shared" ca="1" si="14"/>
        <v>TungstenNiagara Refining LLC</v>
      </c>
    </row>
    <row r="79" spans="1:28" s="277" customFormat="1" ht="102">
      <c r="A79" s="216" t="s">
        <v>2684</v>
      </c>
      <c r="B79" s="217" t="str">
        <f ca="1">IF(LEN(A79)=0,"",INDEX('Smelter Look-up'!$A:$A,MATCH($A79,'Smelter Look-up'!$E:$E,0)))</f>
        <v>Tungsten</v>
      </c>
      <c r="C79" s="221" t="str">
        <f ca="1">IF(LEN(A79)=0,"",INDEX('Smelter Look-up'!$C:$C,MATCH($A79,'Smelter Look-up'!$E:$E,0)))</f>
        <v>Ganzhou Haichuang Tungsten Co., Ltd.</v>
      </c>
      <c r="D79" s="283"/>
      <c r="E79" s="217" t="str">
        <f ca="1">IF(ISERROR($V79),"",OFFSET('Smelter Look-up'!$D$4,$V79-4,0)&amp;"")</f>
        <v>CHINA</v>
      </c>
      <c r="F79" s="217" t="str">
        <f ca="1">IF(ISERROR($V79),"",OFFSET('Smelter Look-up'!$E$4,$V79-4,0))</f>
        <v>CID002645</v>
      </c>
      <c r="G79" s="217" t="str">
        <f ca="1">IF(C79=$X$4,"Enter smelter details",IF(ISERROR($V79),"",OFFSET('Smelter Look-up'!$F$4,$V79-4,0)))</f>
        <v>RMI</v>
      </c>
      <c r="H79" s="218">
        <f ca="1">IF(ISERROR($V79),"",OFFSET('Smelter Look-up'!$G$4,$V79-4,0))</f>
        <v>0</v>
      </c>
      <c r="I79" s="219" t="str">
        <f ca="1">IF(ISERROR($V79),"",OFFSET('Smelter Look-up'!$H$4,$V79-4,0))</f>
        <v>Ganzhou</v>
      </c>
      <c r="J79" s="219" t="str">
        <f ca="1">IF(ISERROR($V79),"",OFFSET('Smelter Look-up'!$I$4,$V79-4,0))</f>
        <v>Jiangxi Sheng</v>
      </c>
      <c r="K79" s="273"/>
      <c r="L79" s="273"/>
      <c r="M79" s="273"/>
      <c r="N79" s="273"/>
      <c r="O79" s="273"/>
      <c r="P79" s="220"/>
      <c r="Q79" s="274"/>
      <c r="R79" s="217" t="str">
        <f ca="1">IF(ISERROR($V79),"",OFFSET('Smelter Look-up'!$C$4,$V79-4,0)&amp;"")</f>
        <v>Ganzhou Haichuang Tungsten Co., Ltd.</v>
      </c>
      <c r="S79" s="225" t="str">
        <f t="shared" ca="1" si="12"/>
        <v>CN</v>
      </c>
      <c r="T79" s="225" t="str">
        <f ca="1">IF(B79="","",IF(ISERROR(MATCH($J79,SorP!$B$1:$B$6230,0)),"",INDIRECT("'SorP'!$A$"&amp;MATCH($J79,SorP!$B$1:$B$6230,0))))</f>
        <v>CN-JX</v>
      </c>
      <c r="U79" s="241"/>
      <c r="V79" s="275">
        <f ca="1">IF(C79="",NA(),MATCH($B79&amp;$C79,'Smelter Look-up'!$J:$J,0))</f>
        <v>507</v>
      </c>
      <c r="W79" s="276"/>
      <c r="X79" s="276">
        <f t="shared" ca="1" si="13"/>
        <v>0</v>
      </c>
      <c r="Y79" s="276"/>
      <c r="Z79" s="276"/>
      <c r="AB79" s="278" t="str">
        <f t="shared" ca="1" si="14"/>
        <v>TungstenGanzhou Haichuang Tungsten Co., Ltd.</v>
      </c>
    </row>
    <row r="80" spans="1:28" s="277" customFormat="1" ht="51">
      <c r="A80" s="216" t="s">
        <v>1892</v>
      </c>
      <c r="B80" s="217" t="str">
        <f ca="1">IF(LEN(A80)=0,"",INDEX('Smelter Look-up'!$A:$A,MATCH($A80,'Smelter Look-up'!$E:$E,0)))</f>
        <v>Tungsten</v>
      </c>
      <c r="C80" s="221" t="str">
        <f ca="1">IF(LEN(A80)=0,"",INDEX('Smelter Look-up'!$C:$C,MATCH($A80,'Smelter Look-up'!$E:$E,0)))</f>
        <v>Hydrometallurg, JSC</v>
      </c>
      <c r="D80" s="283"/>
      <c r="E80" s="217" t="str">
        <f ca="1">IF(ISERROR($V80),"",OFFSET('Smelter Look-up'!$D$4,$V80-4,0)&amp;"")</f>
        <v>RUSSIAN FEDERATION</v>
      </c>
      <c r="F80" s="217" t="str">
        <f ca="1">IF(ISERROR($V80),"",OFFSET('Smelter Look-up'!$E$4,$V80-4,0))</f>
        <v>CID002649</v>
      </c>
      <c r="G80" s="217" t="str">
        <f ca="1">IF(C80=$X$4,"Enter smelter details",IF(ISERROR($V80),"",OFFSET('Smelter Look-up'!$F$4,$V80-4,0)))</f>
        <v>RMI</v>
      </c>
      <c r="H80" s="218">
        <f ca="1">IF(ISERROR($V80),"",OFFSET('Smelter Look-up'!$G$4,$V80-4,0))</f>
        <v>0</v>
      </c>
      <c r="I80" s="219" t="str">
        <f ca="1">IF(ISERROR($V80),"",OFFSET('Smelter Look-up'!$H$4,$V80-4,0))</f>
        <v>Nalchik</v>
      </c>
      <c r="J80" s="219" t="str">
        <f ca="1">IF(ISERROR($V80),"",OFFSET('Smelter Look-up'!$I$4,$V80-4,0))</f>
        <v>Kabardino-Balkarskaya Respublika</v>
      </c>
      <c r="K80" s="273"/>
      <c r="L80" s="273"/>
      <c r="M80" s="273"/>
      <c r="N80" s="273"/>
      <c r="O80" s="273"/>
      <c r="P80" s="220"/>
      <c r="Q80" s="274"/>
      <c r="R80" s="217" t="str">
        <f ca="1">IF(ISERROR($V80),"",OFFSET('Smelter Look-up'!$C$4,$V80-4,0)&amp;"")</f>
        <v>Hydrometallurg, JSC</v>
      </c>
      <c r="S80" s="225" t="str">
        <f t="shared" ca="1" si="12"/>
        <v>RU</v>
      </c>
      <c r="T80" s="225" t="str">
        <f ca="1">IF(B80="","",IF(ISERROR(MATCH($J80,SorP!$B$1:$B$6230,0)),"",INDIRECT("'SorP'!$A$"&amp;MATCH($J80,SorP!$B$1:$B$6230,0))))</f>
        <v>RU-KB</v>
      </c>
      <c r="U80" s="241"/>
      <c r="V80" s="275">
        <f ca="1">IF(C80="",NA(),MATCH($B80&amp;$C80,'Smelter Look-up'!$J:$J,0))</f>
        <v>524</v>
      </c>
      <c r="W80" s="276"/>
      <c r="X80" s="276">
        <f t="shared" ca="1" si="13"/>
        <v>0</v>
      </c>
      <c r="Y80" s="276"/>
      <c r="Z80" s="276"/>
      <c r="AB80" s="278" t="str">
        <f t="shared" ca="1" si="14"/>
        <v>TungstenHydrometallurg, JSC</v>
      </c>
    </row>
    <row r="81" spans="1:28" s="277" customFormat="1" ht="63.75">
      <c r="A81" s="216" t="s">
        <v>14176</v>
      </c>
      <c r="B81" s="217" t="str">
        <f ca="1">IF(LEN(A81)=0,"",INDEX('Smelter Look-up'!$A:$A,MATCH($A81,'Smelter Look-up'!$E:$E,0)))</f>
        <v>Tungsten</v>
      </c>
      <c r="C81" s="221" t="str">
        <f ca="1">IF(LEN(A81)=0,"",INDEX('Smelter Look-up'!$C:$C,MATCH($A81,'Smelter Look-up'!$E:$E,0)))</f>
        <v>Lianyou Metals Co., Ltd.</v>
      </c>
      <c r="D81" s="283"/>
      <c r="E81" s="217" t="str">
        <f ca="1">IF(ISERROR($V81),"",OFFSET('Smelter Look-up'!$D$4,$V81-4,0)&amp;"")</f>
        <v>TAIWAN, PROVINCE OF CHINA</v>
      </c>
      <c r="F81" s="217" t="str">
        <f ca="1">IF(ISERROR($V81),"",OFFSET('Smelter Look-up'!$E$4,$V81-4,0))</f>
        <v>CID003407</v>
      </c>
      <c r="G81" s="217" t="str">
        <f ca="1">IF(C81=$X$4,"Enter smelter details",IF(ISERROR($V81),"",OFFSET('Smelter Look-up'!$F$4,$V81-4,0)))</f>
        <v>RMI</v>
      </c>
      <c r="H81" s="218">
        <f ca="1">IF(ISERROR($V81),"",OFFSET('Smelter Look-up'!$G$4,$V81-4,0))</f>
        <v>0</v>
      </c>
      <c r="I81" s="219" t="str">
        <f ca="1">IF(ISERROR($V81),"",OFFSET('Smelter Look-up'!$H$4,$V81-4,0))</f>
        <v>Fangliao</v>
      </c>
      <c r="J81" s="219" t="str">
        <f ca="1">IF(ISERROR($V81),"",OFFSET('Smelter Look-up'!$I$4,$V81-4,0))</f>
        <v>Pingtung</v>
      </c>
      <c r="K81" s="273"/>
      <c r="L81" s="273"/>
      <c r="M81" s="273"/>
      <c r="N81" s="273"/>
      <c r="O81" s="273"/>
      <c r="P81" s="220"/>
      <c r="Q81" s="274"/>
      <c r="R81" s="217" t="str">
        <f ca="1">IF(ISERROR($V81),"",OFFSET('Smelter Look-up'!$C$4,$V81-4,0)&amp;"")</f>
        <v>Lianyou Metals Co., Ltd.</v>
      </c>
      <c r="S81" s="225" t="str">
        <f t="shared" ca="1" si="12"/>
        <v>TW</v>
      </c>
      <c r="T81" s="225" t="str">
        <f ca="1">IF(B81="","",IF(ISERROR(MATCH($J81,SorP!$B$1:$B$6230,0)),"",INDIRECT("'SorP'!$A$"&amp;MATCH($J81,SorP!$B$1:$B$6230,0))))</f>
        <v>TW-PIF</v>
      </c>
      <c r="U81" s="241"/>
      <c r="V81" s="275">
        <f ca="1">IF(C81="",NA(),MATCH($B81&amp;$C81,'Smelter Look-up'!$J:$J,0))</f>
        <v>540</v>
      </c>
      <c r="W81" s="276"/>
      <c r="X81" s="276">
        <f t="shared" ca="1" si="13"/>
        <v>0</v>
      </c>
      <c r="Y81" s="276"/>
      <c r="Z81" s="276"/>
      <c r="AB81" s="278" t="str">
        <f t="shared" ca="1" si="14"/>
        <v>TungstenLianyou Metals Co., Ltd.</v>
      </c>
    </row>
    <row r="82" spans="1:28" s="277" customFormat="1" ht="63.75">
      <c r="A82" s="332" t="s">
        <v>724</v>
      </c>
      <c r="B82" s="217" t="str">
        <f ca="1">IF(LEN(A82)=0,"",INDEX('Smelter Look-up'!$A:$A,MATCH($A82,'Smelter Look-up'!$E:$E,0)))</f>
        <v>Gold</v>
      </c>
      <c r="C82" s="221" t="str">
        <f ca="1">IF(LEN(A82)=0,"",INDEX('Smelter Look-up'!$C:$C,MATCH($A82,'Smelter Look-up'!$E:$E,0)))</f>
        <v>Metalor USA Refining Corporation</v>
      </c>
      <c r="D82" s="283"/>
      <c r="E82" s="217" t="str">
        <f ca="1">IF(ISERROR($V82),"",OFFSET('Smelter Look-up'!$D$4,$V82-4,0)&amp;"")</f>
        <v>UNITED STATES OF AMERICA</v>
      </c>
      <c r="F82" s="217" t="str">
        <f ca="1">IF(ISERROR($V82),"",OFFSET('Smelter Look-up'!$E$4,$V82-4,0))</f>
        <v>CID001157</v>
      </c>
      <c r="G82" s="217" t="str">
        <f ca="1">IF(C82=$X$4,"Enter smelter details",IF(ISERROR($V82),"",OFFSET('Smelter Look-up'!$F$4,$V82-4,0)))</f>
        <v>RMI</v>
      </c>
      <c r="H82" s="218">
        <f ca="1">IF(ISERROR($V82),"",OFFSET('Smelter Look-up'!$G$4,$V82-4,0))</f>
        <v>0</v>
      </c>
      <c r="I82" s="219" t="str">
        <f ca="1">IF(ISERROR($V82),"",OFFSET('Smelter Look-up'!$H$4,$V82-4,0))</f>
        <v>North Attleboro</v>
      </c>
      <c r="J82" s="219" t="str">
        <f ca="1">IF(ISERROR($V82),"",OFFSET('Smelter Look-up'!$I$4,$V82-4,0))</f>
        <v>Massachusetts</v>
      </c>
      <c r="K82" s="273"/>
      <c r="L82" s="273"/>
      <c r="M82" s="273"/>
      <c r="N82" s="273"/>
      <c r="O82" s="273"/>
      <c r="P82" s="220"/>
      <c r="Q82" s="274"/>
      <c r="R82" s="217" t="str">
        <f ca="1">IF(ISERROR($V82),"",OFFSET('Smelter Look-up'!$C$4,$V82-4,0)&amp;"")</f>
        <v>Metalor USA Refining Corporation</v>
      </c>
      <c r="S82" s="225" t="str">
        <f t="shared" ca="1" si="12"/>
        <v>US</v>
      </c>
      <c r="T82" s="225" t="str">
        <f ca="1">IF(B82="","",IF(ISERROR(MATCH($J82,SorP!$B$1:$B$6230,0)),"",INDIRECT("'SorP'!$A$"&amp;MATCH($J82,SorP!$B$1:$B$6230,0))))</f>
        <v>US-MA</v>
      </c>
      <c r="U82" s="241"/>
      <c r="V82" s="275">
        <f ca="1">IF(C82="",NA(),MATCH($B82&amp;$C82,'Smelter Look-up'!$J:$J,0))</f>
        <v>159</v>
      </c>
      <c r="W82" s="276"/>
      <c r="X82" s="276">
        <f t="shared" ca="1" si="13"/>
        <v>0</v>
      </c>
      <c r="Y82" s="276"/>
      <c r="Z82" s="276"/>
      <c r="AB82" s="278" t="str">
        <f t="shared" ca="1" si="14"/>
        <v>GoldMetalor USA Refining Corporation</v>
      </c>
    </row>
    <row r="83" spans="1:28" s="277" customFormat="1" ht="102">
      <c r="A83" s="216" t="s">
        <v>755</v>
      </c>
      <c r="B83" s="217" t="str">
        <f ca="1">IF(LEN(A83)=0,"",INDEX('Smelter Look-up'!$A:$A,MATCH($A83,'Smelter Look-up'!$E:$E,0)))</f>
        <v>Gold</v>
      </c>
      <c r="C83" s="221" t="str">
        <f ca="1">IF(LEN(A83)=0,"",INDEX('Smelter Look-up'!$C:$C,MATCH($A83,'Smelter Look-up'!$E:$E,0)))</f>
        <v>Umicore S.A. Business Unit Precious Metals Refining</v>
      </c>
      <c r="D83" s="283"/>
      <c r="E83" s="217" t="str">
        <f ca="1">IF(ISERROR($V83),"",OFFSET('Smelter Look-up'!$D$4,$V83-4,0)&amp;"")</f>
        <v>BELGIUM</v>
      </c>
      <c r="F83" s="217" t="str">
        <f ca="1">IF(ISERROR($V83),"",OFFSET('Smelter Look-up'!$E$4,$V83-4,0))</f>
        <v>CID001980</v>
      </c>
      <c r="G83" s="217" t="str">
        <f ca="1">IF(C83=$X$4,"Enter smelter details",IF(ISERROR($V83),"",OFFSET('Smelter Look-up'!$F$4,$V83-4,0)))</f>
        <v>RMI</v>
      </c>
      <c r="H83" s="218">
        <f ca="1">IF(ISERROR($V83),"",OFFSET('Smelter Look-up'!$G$4,$V83-4,0))</f>
        <v>0</v>
      </c>
      <c r="I83" s="219" t="str">
        <f ca="1">IF(ISERROR($V83),"",OFFSET('Smelter Look-up'!$H$4,$V83-4,0))</f>
        <v>Hoboken</v>
      </c>
      <c r="J83" s="219" t="str">
        <f ca="1">IF(ISERROR($V83),"",OFFSET('Smelter Look-up'!$I$4,$V83-4,0))</f>
        <v>Antwerpen</v>
      </c>
      <c r="K83" s="273"/>
      <c r="L83" s="273"/>
      <c r="M83" s="273"/>
      <c r="N83" s="273"/>
      <c r="O83" s="273"/>
      <c r="P83" s="220"/>
      <c r="Q83" s="274"/>
      <c r="R83" s="217" t="str">
        <f ca="1">IF(ISERROR($V83),"",OFFSET('Smelter Look-up'!$C$4,$V83-4,0)&amp;"")</f>
        <v>Umicore S.A. Business Unit Precious Metals Refining</v>
      </c>
      <c r="S83" s="225" t="str">
        <f t="shared" ca="1" si="12"/>
        <v>BE</v>
      </c>
      <c r="T83" s="225" t="str">
        <f ca="1">IF(B83="","",IF(ISERROR(MATCH($J83,SorP!$B$1:$B$6230,0)),"",INDIRECT("'SorP'!$A$"&amp;MATCH($J83,SorP!$B$1:$B$6230,0))))</f>
        <v>BE-VAN</v>
      </c>
      <c r="U83" s="241"/>
      <c r="V83" s="275">
        <f ca="1">IF(C83="",NA(),MATCH($B83&amp;$C83,'Smelter Look-up'!$J:$J,0))</f>
        <v>267</v>
      </c>
      <c r="W83" s="276"/>
      <c r="X83" s="276">
        <f t="shared" ca="1" si="13"/>
        <v>0</v>
      </c>
      <c r="Y83" s="276"/>
      <c r="Z83" s="276"/>
      <c r="AB83" s="278" t="str">
        <f t="shared" ca="1" si="14"/>
        <v>GoldUmicore S.A. Business Unit Precious Metals Refining</v>
      </c>
    </row>
    <row r="84" spans="1:28" s="277" customFormat="1" ht="63.75">
      <c r="A84" s="216" t="s">
        <v>2314</v>
      </c>
      <c r="B84" s="217" t="str">
        <f ca="1">IF(LEN(A84)=0,"",INDEX('Smelter Look-up'!$A:$A,MATCH($A84,'Smelter Look-up'!$E:$E,0)))</f>
        <v>Gold</v>
      </c>
      <c r="C84" s="221" t="str">
        <f ca="1">IF(LEN(A84)=0,"",INDEX('Smelter Look-up'!$C:$C,MATCH($A84,'Smelter Look-up'!$E:$E,0)))</f>
        <v>SAXONIA Edelmetalle GmbH</v>
      </c>
      <c r="D84" s="283"/>
      <c r="E84" s="217" t="str">
        <f ca="1">IF(ISERROR($V84),"",OFFSET('Smelter Look-up'!$D$4,$V84-4,0)&amp;"")</f>
        <v>GERMANY</v>
      </c>
      <c r="F84" s="217" t="str">
        <f ca="1">IF(ISERROR($V84),"",OFFSET('Smelter Look-up'!$E$4,$V84-4,0))</f>
        <v>CID002777</v>
      </c>
      <c r="G84" s="217" t="str">
        <f ca="1">IF(C84=$X$4,"Enter smelter details",IF(ISERROR($V84),"",OFFSET('Smelter Look-up'!$F$4,$V84-4,0)))</f>
        <v>RMI</v>
      </c>
      <c r="H84" s="218">
        <f ca="1">IF(ISERROR($V84),"",OFFSET('Smelter Look-up'!$G$4,$V84-4,0))</f>
        <v>0</v>
      </c>
      <c r="I84" s="219" t="str">
        <f ca="1">IF(ISERROR($V84),"",OFFSET('Smelter Look-up'!$H$4,$V84-4,0))</f>
        <v>Halsbrücke</v>
      </c>
      <c r="J84" s="219" t="str">
        <f ca="1">IF(ISERROR($V84),"",OFFSET('Smelter Look-up'!$I$4,$V84-4,0))</f>
        <v>Sachsen</v>
      </c>
      <c r="K84" s="273"/>
      <c r="L84" s="273"/>
      <c r="M84" s="273"/>
      <c r="N84" s="273"/>
      <c r="O84" s="273"/>
      <c r="P84" s="220"/>
      <c r="Q84" s="274"/>
      <c r="R84" s="217" t="str">
        <f ca="1">IF(ISERROR($V84),"",OFFSET('Smelter Look-up'!$C$4,$V84-4,0)&amp;"")</f>
        <v>SAXONIA Edelmetalle GmbH</v>
      </c>
      <c r="S84" s="225" t="str">
        <f t="shared" ca="1" si="12"/>
        <v>DE</v>
      </c>
      <c r="T84" s="225" t="str">
        <f ca="1">IF(B84="","",IF(ISERROR(MATCH($J84,SorP!$B$1:$B$6230,0)),"",INDIRECT("'SorP'!$A$"&amp;MATCH($J84,SorP!$B$1:$B$6230,0))))</f>
        <v>DE-SN</v>
      </c>
      <c r="U84" s="241"/>
      <c r="V84" s="275">
        <f ca="1">IF(C84="",NA(),MATCH($B84&amp;$C84,'Smelter Look-up'!$J:$J,0))</f>
        <v>212</v>
      </c>
      <c r="W84" s="276"/>
      <c r="X84" s="276">
        <f t="shared" ca="1" si="13"/>
        <v>0</v>
      </c>
      <c r="Y84" s="276"/>
      <c r="Z84" s="276"/>
      <c r="AB84" s="278" t="str">
        <f t="shared" ca="1" si="14"/>
        <v>GoldSAXONIA Edelmetalle GmbH</v>
      </c>
    </row>
    <row r="85" spans="1:28" s="277" customFormat="1" ht="63.75">
      <c r="A85" s="216" t="s">
        <v>2315</v>
      </c>
      <c r="B85" s="217" t="str">
        <f ca="1">IF(LEN(A85)=0,"",INDEX('Smelter Look-up'!$A:$A,MATCH($A85,'Smelter Look-up'!$E:$E,0)))</f>
        <v>Gold</v>
      </c>
      <c r="C85" s="221" t="str">
        <f ca="1">IF(LEN(A85)=0,"",INDEX('Smelter Look-up'!$C:$C,MATCH($A85,'Smelter Look-up'!$E:$E,0)))</f>
        <v>WIELAND Edelmetalle GmbH</v>
      </c>
      <c r="D85" s="283"/>
      <c r="E85" s="217" t="str">
        <f ca="1">IF(ISERROR($V85),"",OFFSET('Smelter Look-up'!$D$4,$V85-4,0)&amp;"")</f>
        <v>GERMANY</v>
      </c>
      <c r="F85" s="217" t="str">
        <f ca="1">IF(ISERROR($V85),"",OFFSET('Smelter Look-up'!$E$4,$V85-4,0))</f>
        <v>CID002778</v>
      </c>
      <c r="G85" s="217" t="str">
        <f ca="1">IF(C85=$X$4,"Enter smelter details",IF(ISERROR($V85),"",OFFSET('Smelter Look-up'!$F$4,$V85-4,0)))</f>
        <v>RMI</v>
      </c>
      <c r="H85" s="218">
        <f ca="1">IF(ISERROR($V85),"",OFFSET('Smelter Look-up'!$G$4,$V85-4,0))</f>
        <v>0</v>
      </c>
      <c r="I85" s="219" t="str">
        <f ca="1">IF(ISERROR($V85),"",OFFSET('Smelter Look-up'!$H$4,$V85-4,0))</f>
        <v>Pforzheim</v>
      </c>
      <c r="J85" s="219" t="str">
        <f ca="1">IF(ISERROR($V85),"",OFFSET('Smelter Look-up'!$I$4,$V85-4,0))</f>
        <v>Baden-Württemberg</v>
      </c>
      <c r="K85" s="273"/>
      <c r="L85" s="273"/>
      <c r="M85" s="273"/>
      <c r="N85" s="273"/>
      <c r="O85" s="273"/>
      <c r="P85" s="220"/>
      <c r="Q85" s="274"/>
      <c r="R85" s="217" t="str">
        <f ca="1">IF(ISERROR($V85),"",OFFSET('Smelter Look-up'!$C$4,$V85-4,0)&amp;"")</f>
        <v>WIELAND Edelmetalle GmbH</v>
      </c>
      <c r="S85" s="225" t="str">
        <f t="shared" ca="1" si="12"/>
        <v>DE</v>
      </c>
      <c r="T85" s="225" t="str">
        <f ca="1">IF(B85="","",IF(ISERROR(MATCH($J85,SorP!$B$1:$B$6230,0)),"",INDIRECT("'SorP'!$A$"&amp;MATCH($J85,SorP!$B$1:$B$6230,0))))</f>
        <v>DE-BW</v>
      </c>
      <c r="U85" s="241"/>
      <c r="V85" s="275">
        <f ca="1">IF(C85="",NA(),MATCH($B85&amp;$C85,'Smelter Look-up'!$J:$J,0))</f>
        <v>271</v>
      </c>
      <c r="W85" s="276"/>
      <c r="X85" s="276">
        <f t="shared" ca="1" si="13"/>
        <v>0</v>
      </c>
      <c r="Y85" s="276"/>
      <c r="Z85" s="276"/>
      <c r="AB85" s="278" t="str">
        <f t="shared" ca="1" si="14"/>
        <v>GoldWIELAND Edelmetalle GmbH</v>
      </c>
    </row>
    <row r="86" spans="1:28" s="277" customFormat="1" ht="102">
      <c r="A86" s="216" t="s">
        <v>744</v>
      </c>
      <c r="B86" s="217" t="str">
        <f ca="1">IF(LEN(A86)=0,"",INDEX('Smelter Look-up'!$A:$A,MATCH($A86,'Smelter Look-up'!$E:$E,0)))</f>
        <v>Gold</v>
      </c>
      <c r="C86" s="221" t="str">
        <f ca="1">IF(LEN(A86)=0,"",INDEX('Smelter Look-up'!$C:$C,MATCH($A86,'Smelter Look-up'!$E:$E,0)))</f>
        <v>Shandong Zhaojin Gold &amp; Silver Refinery Co., Ltd.</v>
      </c>
      <c r="D86" s="283"/>
      <c r="E86" s="217" t="str">
        <f ca="1">IF(ISERROR($V86),"",OFFSET('Smelter Look-up'!$D$4,$V86-4,0)&amp;"")</f>
        <v>CHINA</v>
      </c>
      <c r="F86" s="217" t="str">
        <f ca="1">IF(ISERROR($V86),"",OFFSET('Smelter Look-up'!$E$4,$V86-4,0))</f>
        <v>CID001622</v>
      </c>
      <c r="G86" s="217" t="str">
        <f ca="1">IF(C86=$X$4,"Enter smelter details",IF(ISERROR($V86),"",OFFSET('Smelter Look-up'!$F$4,$V86-4,0)))</f>
        <v>RMI</v>
      </c>
      <c r="H86" s="218">
        <f ca="1">IF(ISERROR($V86),"",OFFSET('Smelter Look-up'!$G$4,$V86-4,0))</f>
        <v>0</v>
      </c>
      <c r="I86" s="219" t="str">
        <f ca="1">IF(ISERROR($V86),"",OFFSET('Smelter Look-up'!$H$4,$V86-4,0))</f>
        <v>Zhaoyuan</v>
      </c>
      <c r="J86" s="219" t="str">
        <f ca="1">IF(ISERROR($V86),"",OFFSET('Smelter Look-up'!$I$4,$V86-4,0))</f>
        <v>Shandong Sheng</v>
      </c>
      <c r="K86" s="273"/>
      <c r="L86" s="273"/>
      <c r="M86" s="273"/>
      <c r="N86" s="273"/>
      <c r="O86" s="273"/>
      <c r="P86" s="220"/>
      <c r="Q86" s="274"/>
      <c r="R86" s="217" t="str">
        <f ca="1">IF(ISERROR($V86),"",OFFSET('Smelter Look-up'!$C$4,$V86-4,0)&amp;"")</f>
        <v>Shandong Zhaojin Gold &amp; Silver Refinery Co., Ltd.</v>
      </c>
      <c r="S86" s="225" t="str">
        <f t="shared" ca="1" si="12"/>
        <v>CN</v>
      </c>
      <c r="T86" s="225" t="str">
        <f ca="1">IF(B86="","",IF(ISERROR(MATCH($J86,SorP!$B$1:$B$6230,0)),"",INDIRECT("'SorP'!$A$"&amp;MATCH($J86,SorP!$B$1:$B$6230,0))))</f>
        <v>CN-SD</v>
      </c>
      <c r="U86" s="241"/>
      <c r="V86" s="275">
        <f ca="1">IF(C86="",NA(),MATCH($B86&amp;$C86,'Smelter Look-up'!$J:$J,0))</f>
        <v>223</v>
      </c>
      <c r="W86" s="276"/>
      <c r="X86" s="276">
        <f t="shared" ca="1" si="13"/>
        <v>0</v>
      </c>
      <c r="Y86" s="276"/>
      <c r="Z86" s="276"/>
      <c r="AB86" s="278" t="str">
        <f t="shared" ca="1" si="14"/>
        <v>GoldShandong Zhaojin Gold &amp; Silver Refinery Co., Ltd.</v>
      </c>
    </row>
    <row r="87" spans="1:28" s="277" customFormat="1" ht="102">
      <c r="A87" s="216" t="s">
        <v>750</v>
      </c>
      <c r="B87" s="217" t="str">
        <f ca="1">IF(LEN(A87)=0,"",INDEX('Smelter Look-up'!$A:$A,MATCH($A87,'Smelter Look-up'!$E:$E,0)))</f>
        <v>Gold</v>
      </c>
      <c r="C87" s="221" t="str">
        <f ca="1">IF(LEN(A87)=0,"",INDEX('Smelter Look-up'!$C:$C,MATCH($A87,'Smelter Look-up'!$E:$E,0)))</f>
        <v>The Refinery of Shandong Gold Mining Co., Ltd.</v>
      </c>
      <c r="D87" s="283"/>
      <c r="E87" s="217" t="str">
        <f ca="1">IF(ISERROR($V87),"",OFFSET('Smelter Look-up'!$D$4,$V87-4,0)&amp;"")</f>
        <v>CHINA</v>
      </c>
      <c r="F87" s="217" t="str">
        <f ca="1">IF(ISERROR($V87),"",OFFSET('Smelter Look-up'!$E$4,$V87-4,0))</f>
        <v>CID001916</v>
      </c>
      <c r="G87" s="217" t="str">
        <f ca="1">IF(C87=$X$4,"Enter smelter details",IF(ISERROR($V87),"",OFFSET('Smelter Look-up'!$F$4,$V87-4,0)))</f>
        <v>RMI</v>
      </c>
      <c r="H87" s="218">
        <f ca="1">IF(ISERROR($V87),"",OFFSET('Smelter Look-up'!$G$4,$V87-4,0))</f>
        <v>0</v>
      </c>
      <c r="I87" s="219" t="str">
        <f ca="1">IF(ISERROR($V87),"",OFFSET('Smelter Look-up'!$H$4,$V87-4,0))</f>
        <v>Laizhou</v>
      </c>
      <c r="J87" s="219" t="str">
        <f ca="1">IF(ISERROR($V87),"",OFFSET('Smelter Look-up'!$I$4,$V87-4,0))</f>
        <v>Shandong Sheng</v>
      </c>
      <c r="K87" s="273"/>
      <c r="L87" s="273"/>
      <c r="M87" s="273"/>
      <c r="N87" s="273"/>
      <c r="O87" s="273"/>
      <c r="P87" s="220"/>
      <c r="Q87" s="274"/>
      <c r="R87" s="217" t="str">
        <f ca="1">IF(ISERROR($V87),"",OFFSET('Smelter Look-up'!$C$4,$V87-4,0)&amp;"")</f>
        <v>The Refinery of Shandong Gold Mining Co., Ltd.</v>
      </c>
      <c r="S87" s="225" t="str">
        <f t="shared" ca="1" si="12"/>
        <v>CN</v>
      </c>
      <c r="T87" s="225" t="str">
        <f ca="1">IF(B87="","",IF(ISERROR(MATCH($J87,SorP!$B$1:$B$6230,0)),"",INDIRECT("'SorP'!$A$"&amp;MATCH($J87,SorP!$B$1:$B$6230,0))))</f>
        <v>CN-SD</v>
      </c>
      <c r="U87" s="241"/>
      <c r="V87" s="275">
        <f ca="1">IF(C87="",NA(),MATCH($B87&amp;$C87,'Smelter Look-up'!$J:$J,0))</f>
        <v>256</v>
      </c>
      <c r="W87" s="276"/>
      <c r="X87" s="276">
        <f t="shared" ca="1" si="13"/>
        <v>0</v>
      </c>
      <c r="Y87" s="276"/>
      <c r="Z87" s="276"/>
      <c r="AB87" s="278" t="str">
        <f t="shared" ca="1" si="14"/>
        <v>GoldThe Refinery of Shandong Gold Mining Co., Ltd.</v>
      </c>
    </row>
    <row r="88" spans="1:28" s="277" customFormat="1" ht="102">
      <c r="A88" s="216" t="s">
        <v>680</v>
      </c>
      <c r="B88" s="217" t="str">
        <f ca="1">IF(LEN(A88)=0,"",INDEX('Smelter Look-up'!$A:$A,MATCH($A88,'Smelter Look-up'!$E:$E,0)))</f>
        <v>Gold</v>
      </c>
      <c r="C88" s="221" t="str">
        <f ca="1">IF(LEN(A88)=0,"",INDEX('Smelter Look-up'!$C:$C,MATCH($A88,'Smelter Look-up'!$E:$E,0)))</f>
        <v>CCR Refinery - Glencore Canada Corporation</v>
      </c>
      <c r="D88" s="283"/>
      <c r="E88" s="217" t="str">
        <f ca="1">IF(ISERROR($V88),"",OFFSET('Smelter Look-up'!$D$4,$V88-4,0)&amp;"")</f>
        <v>CANADA</v>
      </c>
      <c r="F88" s="217" t="str">
        <f ca="1">IF(ISERROR($V88),"",OFFSET('Smelter Look-up'!$E$4,$V88-4,0))</f>
        <v>CID000185</v>
      </c>
      <c r="G88" s="217" t="str">
        <f ca="1">IF(C88=$X$4,"Enter smelter details",IF(ISERROR($V88),"",OFFSET('Smelter Look-up'!$F$4,$V88-4,0)))</f>
        <v>RMI</v>
      </c>
      <c r="H88" s="218">
        <f ca="1">IF(ISERROR($V88),"",OFFSET('Smelter Look-up'!$G$4,$V88-4,0))</f>
        <v>0</v>
      </c>
      <c r="I88" s="219" t="str">
        <f ca="1">IF(ISERROR($V88),"",OFFSET('Smelter Look-up'!$H$4,$V88-4,0))</f>
        <v>Montréal</v>
      </c>
      <c r="J88" s="219" t="str">
        <f ca="1">IF(ISERROR($V88),"",OFFSET('Smelter Look-up'!$I$4,$V88-4,0))</f>
        <v>Quebec</v>
      </c>
      <c r="K88" s="273"/>
      <c r="L88" s="273"/>
      <c r="M88" s="273"/>
      <c r="N88" s="273"/>
      <c r="O88" s="273"/>
      <c r="P88" s="220"/>
      <c r="Q88" s="274"/>
      <c r="R88" s="217" t="str">
        <f ca="1">IF(ISERROR($V88),"",OFFSET('Smelter Look-up'!$C$4,$V88-4,0)&amp;"")</f>
        <v>CCR Refinery - Glencore Canada Corporation</v>
      </c>
      <c r="S88" s="225" t="str">
        <f t="shared" ca="1" si="12"/>
        <v>CA</v>
      </c>
      <c r="T88" s="225" t="str">
        <f ca="1">IF(B88="","",IF(ISERROR(MATCH($J88,SorP!$B$1:$B$6230,0)),"",INDIRECT("'SorP'!$A$"&amp;MATCH($J88,SorP!$B$1:$B$6230,0))))</f>
        <v>CA-QC</v>
      </c>
      <c r="U88" s="241"/>
      <c r="V88" s="275">
        <f ca="1">IF(C88="",NA(),MATCH($B88&amp;$C88,'Smelter Look-up'!$J:$J,0))</f>
        <v>43</v>
      </c>
      <c r="W88" s="276"/>
      <c r="X88" s="276">
        <f t="shared" ca="1" si="13"/>
        <v>0</v>
      </c>
      <c r="Y88" s="276"/>
      <c r="Z88" s="276"/>
      <c r="AB88" s="278" t="str">
        <f t="shared" ca="1" si="14"/>
        <v>GoldCCR Refinery - Glencore Canada Corporation</v>
      </c>
    </row>
    <row r="89" spans="1:28" s="277" customFormat="1" ht="25.5">
      <c r="A89" s="216" t="s">
        <v>719</v>
      </c>
      <c r="B89" s="217" t="str">
        <f ca="1">IF(LEN(A89)=0,"",INDEX('Smelter Look-up'!$A:$A,MATCH($A89,'Smelter Look-up'!$E:$E,0)))</f>
        <v>Gold</v>
      </c>
      <c r="C89" s="221" t="str">
        <f ca="1">IF(LEN(A89)=0,"",INDEX('Smelter Look-up'!$C:$C,MATCH($A89,'Smelter Look-up'!$E:$E,0)))</f>
        <v>Materion</v>
      </c>
      <c r="D89" s="283"/>
      <c r="E89" s="217" t="str">
        <f ca="1">IF(ISERROR($V89),"",OFFSET('Smelter Look-up'!$D$4,$V89-4,0)&amp;"")</f>
        <v>UNITED STATES OF AMERICA</v>
      </c>
      <c r="F89" s="217" t="str">
        <f ca="1">IF(ISERROR($V89),"",OFFSET('Smelter Look-up'!$E$4,$V89-4,0))</f>
        <v>CID001113</v>
      </c>
      <c r="G89" s="217" t="str">
        <f ca="1">IF(C89=$X$4,"Enter smelter details",IF(ISERROR($V89),"",OFFSET('Smelter Look-up'!$F$4,$V89-4,0)))</f>
        <v>RMI</v>
      </c>
      <c r="H89" s="218">
        <f ca="1">IF(ISERROR($V89),"",OFFSET('Smelter Look-up'!$G$4,$V89-4,0))</f>
        <v>0</v>
      </c>
      <c r="I89" s="219" t="str">
        <f ca="1">IF(ISERROR($V89),"",OFFSET('Smelter Look-up'!$H$4,$V89-4,0))</f>
        <v>Buffalo</v>
      </c>
      <c r="J89" s="219" t="str">
        <f ca="1">IF(ISERROR($V89),"",OFFSET('Smelter Look-up'!$I$4,$V89-4,0))</f>
        <v>New York</v>
      </c>
      <c r="K89" s="273"/>
      <c r="L89" s="273"/>
      <c r="M89" s="273"/>
      <c r="N89" s="273"/>
      <c r="O89" s="273"/>
      <c r="P89" s="220"/>
      <c r="Q89" s="274"/>
      <c r="R89" s="217" t="str">
        <f ca="1">IF(ISERROR($V89),"",OFFSET('Smelter Look-up'!$C$4,$V89-4,0)&amp;"")</f>
        <v>Materion</v>
      </c>
      <c r="S89" s="225" t="str">
        <f t="shared" ca="1" si="12"/>
        <v>US</v>
      </c>
      <c r="T89" s="225" t="str">
        <f ca="1">IF(B89="","",IF(ISERROR(MATCH($J89,SorP!$B$1:$B$6230,0)),"",INDIRECT("'SorP'!$A$"&amp;MATCH($J89,SorP!$B$1:$B$6230,0))))</f>
        <v>US-NY</v>
      </c>
      <c r="U89" s="241"/>
      <c r="V89" s="275">
        <f ca="1">IF(C89="",NA(),MATCH($B89&amp;$C89,'Smelter Look-up'!$J:$J,0))</f>
        <v>149</v>
      </c>
      <c r="W89" s="276"/>
      <c r="X89" s="276">
        <f t="shared" ca="1" si="13"/>
        <v>0</v>
      </c>
      <c r="Y89" s="276"/>
      <c r="Z89" s="276"/>
      <c r="AB89" s="278" t="str">
        <f t="shared" ca="1" si="14"/>
        <v>GoldMaterion</v>
      </c>
    </row>
    <row r="90" spans="1:28" s="277" customFormat="1" ht="102">
      <c r="A90" s="216" t="s">
        <v>667</v>
      </c>
      <c r="B90" s="217" t="str">
        <f ca="1">IF(LEN(A90)=0,"",INDEX('Smelter Look-up'!$A:$A,MATCH($A90,'Smelter Look-up'!$E:$E,0)))</f>
        <v>Gold</v>
      </c>
      <c r="C90" s="221" t="str">
        <f ca="1">IF(LEN(A90)=0,"",INDEX('Smelter Look-up'!$C:$C,MATCH($A90,'Smelter Look-up'!$E:$E,0)))</f>
        <v>Allgemeine Gold-und Silberscheideanstalt A.G.</v>
      </c>
      <c r="D90" s="283"/>
      <c r="E90" s="217" t="str">
        <f ca="1">IF(ISERROR($V90),"",OFFSET('Smelter Look-up'!$D$4,$V90-4,0)&amp;"")</f>
        <v>GERMANY</v>
      </c>
      <c r="F90" s="217" t="str">
        <f ca="1">IF(ISERROR($V90),"",OFFSET('Smelter Look-up'!$E$4,$V90-4,0))</f>
        <v>CID000035</v>
      </c>
      <c r="G90" s="217" t="str">
        <f ca="1">IF(C90=$X$4,"Enter smelter details",IF(ISERROR($V90),"",OFFSET('Smelter Look-up'!$F$4,$V90-4,0)))</f>
        <v>RMI</v>
      </c>
      <c r="H90" s="218">
        <f ca="1">IF(ISERROR($V90),"",OFFSET('Smelter Look-up'!$G$4,$V90-4,0))</f>
        <v>0</v>
      </c>
      <c r="I90" s="219" t="str">
        <f ca="1">IF(ISERROR($V90),"",OFFSET('Smelter Look-up'!$H$4,$V90-4,0))</f>
        <v>Pforzheim</v>
      </c>
      <c r="J90" s="219" t="str">
        <f ca="1">IF(ISERROR($V90),"",OFFSET('Smelter Look-up'!$I$4,$V90-4,0))</f>
        <v>Baden-Württemberg</v>
      </c>
      <c r="K90" s="273"/>
      <c r="L90" s="273"/>
      <c r="M90" s="273"/>
      <c r="N90" s="273"/>
      <c r="O90" s="273"/>
      <c r="P90" s="220"/>
      <c r="Q90" s="274"/>
      <c r="R90" s="217" t="str">
        <f ca="1">IF(ISERROR($V90),"",OFFSET('Smelter Look-up'!$C$4,$V90-4,0)&amp;"")</f>
        <v>Allgemeine Gold-und Silberscheideanstalt A.G.</v>
      </c>
      <c r="S90" s="225" t="str">
        <f t="shared" ca="1" si="12"/>
        <v>DE</v>
      </c>
      <c r="T90" s="225" t="str">
        <f ca="1">IF(B90="","",IF(ISERROR(MATCH($J90,SorP!$B$1:$B$6230,0)),"",INDIRECT("'SorP'!$A$"&amp;MATCH($J90,SorP!$B$1:$B$6230,0))))</f>
        <v>DE-BW</v>
      </c>
      <c r="U90" s="241"/>
      <c r="V90" s="275">
        <f ca="1">IF(C90="",NA(),MATCH($B90&amp;$C90,'Smelter Look-up'!$J:$J,0))</f>
        <v>14</v>
      </c>
      <c r="W90" s="276"/>
      <c r="X90" s="276">
        <f t="shared" ca="1" si="13"/>
        <v>0</v>
      </c>
      <c r="Y90" s="276"/>
      <c r="Z90" s="276"/>
      <c r="AB90" s="278" t="str">
        <f t="shared" ca="1" si="14"/>
        <v>GoldAllgemeine Gold-und Silberscheideanstalt A.G.</v>
      </c>
    </row>
    <row r="91" spans="1:28" s="277" customFormat="1" ht="89.25">
      <c r="A91" s="216" t="s">
        <v>669</v>
      </c>
      <c r="B91" s="217" t="str">
        <f ca="1">IF(LEN(A91)=0,"",INDEX('Smelter Look-up'!$A:$A,MATCH($A91,'Smelter Look-up'!$E:$E,0)))</f>
        <v>Gold</v>
      </c>
      <c r="C91" s="221" t="str">
        <f ca="1">IF(LEN(A91)=0,"",INDEX('Smelter Look-up'!$C:$C,MATCH($A91,'Smelter Look-up'!$E:$E,0)))</f>
        <v>AngloGold Ashanti Corrego do Sitio Mineracao</v>
      </c>
      <c r="D91" s="283"/>
      <c r="E91" s="217" t="str">
        <f ca="1">IF(ISERROR($V91),"",OFFSET('Smelter Look-up'!$D$4,$V91-4,0)&amp;"")</f>
        <v>BRAZIL</v>
      </c>
      <c r="F91" s="217" t="str">
        <f ca="1">IF(ISERROR($V91),"",OFFSET('Smelter Look-up'!$E$4,$V91-4,0))</f>
        <v>CID000058</v>
      </c>
      <c r="G91" s="217" t="str">
        <f ca="1">IF(C91=$X$4,"Enter smelter details",IF(ISERROR($V91),"",OFFSET('Smelter Look-up'!$F$4,$V91-4,0)))</f>
        <v>RMI</v>
      </c>
      <c r="H91" s="218">
        <f ca="1">IF(ISERROR($V91),"",OFFSET('Smelter Look-up'!$G$4,$V91-4,0))</f>
        <v>0</v>
      </c>
      <c r="I91" s="219" t="str">
        <f ca="1">IF(ISERROR($V91),"",OFFSET('Smelter Look-up'!$H$4,$V91-4,0))</f>
        <v>Nova Lima</v>
      </c>
      <c r="J91" s="219" t="str">
        <f ca="1">IF(ISERROR($V91),"",OFFSET('Smelter Look-up'!$I$4,$V91-4,0))</f>
        <v>Minas Gerais</v>
      </c>
      <c r="K91" s="273"/>
      <c r="L91" s="273"/>
      <c r="M91" s="273"/>
      <c r="N91" s="273"/>
      <c r="O91" s="273"/>
      <c r="P91" s="220"/>
      <c r="Q91" s="274"/>
      <c r="R91" s="217" t="str">
        <f ca="1">IF(ISERROR($V91),"",OFFSET('Smelter Look-up'!$C$4,$V91-4,0)&amp;"")</f>
        <v>AngloGold Ashanti Corrego do Sitio Mineracao</v>
      </c>
      <c r="S91" s="225" t="str">
        <f t="shared" ca="1" si="12"/>
        <v>BR</v>
      </c>
      <c r="T91" s="225" t="str">
        <f ca="1">IF(B91="","",IF(ISERROR(MATCH($J91,SorP!$B$1:$B$6230,0)),"",INDIRECT("'SorP'!$A$"&amp;MATCH($J91,SorP!$B$1:$B$6230,0))))</f>
        <v>BR-MG</v>
      </c>
      <c r="U91" s="241"/>
      <c r="V91" s="275">
        <f ca="1">IF(C91="",NA(),MATCH($B91&amp;$C91,'Smelter Look-up'!$J:$J,0))</f>
        <v>18</v>
      </c>
      <c r="W91" s="276"/>
      <c r="X91" s="276">
        <f t="shared" ca="1" si="13"/>
        <v>0</v>
      </c>
      <c r="Y91" s="276"/>
      <c r="Z91" s="276"/>
      <c r="AB91" s="278" t="str">
        <f t="shared" ca="1" si="14"/>
        <v>GoldAngloGold Ashanti Corrego do Sitio Mineracao</v>
      </c>
    </row>
    <row r="92" spans="1:28" s="277" customFormat="1" ht="63.75">
      <c r="A92" s="216" t="s">
        <v>704</v>
      </c>
      <c r="B92" s="217" t="str">
        <f ca="1">IF(LEN(A92)=0,"",INDEX('Smelter Look-up'!$A:$A,MATCH($A92,'Smelter Look-up'!$E:$E,0)))</f>
        <v>Gold</v>
      </c>
      <c r="C92" s="221" t="str">
        <f ca="1">IF(LEN(A92)=0,"",INDEX('Smelter Look-up'!$C:$C,MATCH($A92,'Smelter Look-up'!$E:$E,0)))</f>
        <v>Asahi Refining USA Inc.</v>
      </c>
      <c r="D92" s="283"/>
      <c r="E92" s="217" t="str">
        <f ca="1">IF(ISERROR($V92),"",OFFSET('Smelter Look-up'!$D$4,$V92-4,0)&amp;"")</f>
        <v>UNITED STATES OF AMERICA</v>
      </c>
      <c r="F92" s="217" t="str">
        <f ca="1">IF(ISERROR($V92),"",OFFSET('Smelter Look-up'!$E$4,$V92-4,0))</f>
        <v>CID000920</v>
      </c>
      <c r="G92" s="217" t="str">
        <f ca="1">IF(C92=$X$4,"Enter smelter details",IF(ISERROR($V92),"",OFFSET('Smelter Look-up'!$F$4,$V92-4,0)))</f>
        <v>RMI</v>
      </c>
      <c r="H92" s="218">
        <f ca="1">IF(ISERROR($V92),"",OFFSET('Smelter Look-up'!$G$4,$V92-4,0))</f>
        <v>0</v>
      </c>
      <c r="I92" s="219" t="str">
        <f ca="1">IF(ISERROR($V92),"",OFFSET('Smelter Look-up'!$H$4,$V92-4,0))</f>
        <v>Salt Lake City</v>
      </c>
      <c r="J92" s="219" t="str">
        <f ca="1">IF(ISERROR($V92),"",OFFSET('Smelter Look-up'!$I$4,$V92-4,0))</f>
        <v>Utah</v>
      </c>
      <c r="K92" s="273"/>
      <c r="L92" s="273"/>
      <c r="M92" s="273"/>
      <c r="N92" s="273"/>
      <c r="O92" s="273"/>
      <c r="P92" s="220"/>
      <c r="Q92" s="274"/>
      <c r="R92" s="217" t="str">
        <f ca="1">IF(ISERROR($V92),"",OFFSET('Smelter Look-up'!$C$4,$V92-4,0)&amp;"")</f>
        <v>Asahi Refining USA Inc.</v>
      </c>
      <c r="S92" s="225" t="str">
        <f t="shared" ca="1" si="12"/>
        <v>US</v>
      </c>
      <c r="T92" s="225" t="str">
        <f ca="1">IF(B92="","",IF(ISERROR(MATCH($J92,SorP!$B$1:$B$6230,0)),"",INDIRECT("'SorP'!$A$"&amp;MATCH($J92,SorP!$B$1:$B$6230,0))))</f>
        <v>US-UT</v>
      </c>
      <c r="U92" s="241"/>
      <c r="V92" s="275">
        <f ca="1">IF(C92="",NA(),MATCH($B92&amp;$C92,'Smelter Look-up'!$J:$J,0))</f>
        <v>26</v>
      </c>
      <c r="W92" s="276"/>
      <c r="X92" s="276">
        <f t="shared" ca="1" si="13"/>
        <v>0</v>
      </c>
      <c r="Y92" s="276"/>
      <c r="Z92" s="276"/>
      <c r="AB92" s="278" t="str">
        <f t="shared" ca="1" si="14"/>
        <v>GoldAsahi Refining USA Inc.</v>
      </c>
    </row>
    <row r="93" spans="1:28" s="277" customFormat="1" ht="25.5">
      <c r="A93" s="216" t="s">
        <v>674</v>
      </c>
      <c r="B93" s="217" t="str">
        <f ca="1">IF(LEN(A93)=0,"",INDEX('Smelter Look-up'!$A:$A,MATCH($A93,'Smelter Look-up'!$E:$E,0)))</f>
        <v>Gold</v>
      </c>
      <c r="C93" s="221" t="str">
        <f ca="1">IF(LEN(A93)=0,"",INDEX('Smelter Look-up'!$C:$C,MATCH($A93,'Smelter Look-up'!$E:$E,0)))</f>
        <v>Aurubis AG</v>
      </c>
      <c r="D93" s="283"/>
      <c r="E93" s="217" t="str">
        <f ca="1">IF(ISERROR($V93),"",OFFSET('Smelter Look-up'!$D$4,$V93-4,0)&amp;"")</f>
        <v>GERMANY</v>
      </c>
      <c r="F93" s="217" t="str">
        <f ca="1">IF(ISERROR($V93),"",OFFSET('Smelter Look-up'!$E$4,$V93-4,0))</f>
        <v>CID000113</v>
      </c>
      <c r="G93" s="217" t="str">
        <f ca="1">IF(C93=$X$4,"Enter smelter details",IF(ISERROR($V93),"",OFFSET('Smelter Look-up'!$F$4,$V93-4,0)))</f>
        <v>RMI</v>
      </c>
      <c r="H93" s="218">
        <f ca="1">IF(ISERROR($V93),"",OFFSET('Smelter Look-up'!$G$4,$V93-4,0))</f>
        <v>0</v>
      </c>
      <c r="I93" s="219" t="str">
        <f ca="1">IF(ISERROR($V93),"",OFFSET('Smelter Look-up'!$H$4,$V93-4,0))</f>
        <v>Hamburg</v>
      </c>
      <c r="J93" s="219" t="str">
        <f ca="1">IF(ISERROR($V93),"",OFFSET('Smelter Look-up'!$I$4,$V93-4,0))</f>
        <v>Hamburg</v>
      </c>
      <c r="K93" s="273"/>
      <c r="L93" s="273"/>
      <c r="M93" s="273"/>
      <c r="N93" s="273"/>
      <c r="O93" s="273"/>
      <c r="P93" s="220"/>
      <c r="Q93" s="274"/>
      <c r="R93" s="217" t="str">
        <f ca="1">IF(ISERROR($V93),"",OFFSET('Smelter Look-up'!$C$4,$V93-4,0)&amp;"")</f>
        <v>Aurubis AG</v>
      </c>
      <c r="S93" s="225" t="str">
        <f t="shared" ca="1" si="12"/>
        <v>DE</v>
      </c>
      <c r="T93" s="225" t="str">
        <f ca="1">IF(B93="","",IF(ISERROR(MATCH($J93,SorP!$B$1:$B$6230,0)),"",INDIRECT("'SorP'!$A$"&amp;MATCH($J93,SorP!$B$1:$B$6230,0))))</f>
        <v>DE-HH</v>
      </c>
      <c r="U93" s="241"/>
      <c r="V93" s="275">
        <f ca="1">IF(C93="",NA(),MATCH($B93&amp;$C93,'Smelter Look-up'!$J:$J,0))</f>
        <v>32</v>
      </c>
      <c r="W93" s="276"/>
      <c r="X93" s="276">
        <f t="shared" ca="1" si="13"/>
        <v>0</v>
      </c>
      <c r="Y93" s="276"/>
      <c r="Z93" s="276"/>
      <c r="AB93" s="278" t="str">
        <f t="shared" ca="1" si="14"/>
        <v>GoldAurubis AG</v>
      </c>
    </row>
    <row r="94" spans="1:28" s="277" customFormat="1" ht="25.5">
      <c r="A94" s="216" t="s">
        <v>676</v>
      </c>
      <c r="B94" s="217" t="str">
        <f ca="1">IF(LEN(A94)=0,"",INDEX('Smelter Look-up'!$A:$A,MATCH($A94,'Smelter Look-up'!$E:$E,0)))</f>
        <v>Gold</v>
      </c>
      <c r="C94" s="221" t="str">
        <f ca="1">IF(LEN(A94)=0,"",INDEX('Smelter Look-up'!$C:$C,MATCH($A94,'Smelter Look-up'!$E:$E,0)))</f>
        <v>Boliden AB</v>
      </c>
      <c r="D94" s="283"/>
      <c r="E94" s="217" t="str">
        <f ca="1">IF(ISERROR($V94),"",OFFSET('Smelter Look-up'!$D$4,$V94-4,0)&amp;"")</f>
        <v>SWEDEN</v>
      </c>
      <c r="F94" s="217" t="str">
        <f ca="1">IF(ISERROR($V94),"",OFFSET('Smelter Look-up'!$E$4,$V94-4,0))</f>
        <v>CID000157</v>
      </c>
      <c r="G94" s="217" t="str">
        <f ca="1">IF(C94=$X$4,"Enter smelter details",IF(ISERROR($V94),"",OFFSET('Smelter Look-up'!$F$4,$V94-4,0)))</f>
        <v>RMI</v>
      </c>
      <c r="H94" s="218">
        <f ca="1">IF(ISERROR($V94),"",OFFSET('Smelter Look-up'!$G$4,$V94-4,0))</f>
        <v>0</v>
      </c>
      <c r="I94" s="219" t="str">
        <f ca="1">IF(ISERROR($V94),"",OFFSET('Smelter Look-up'!$H$4,$V94-4,0))</f>
        <v>Skelleftehamn</v>
      </c>
      <c r="J94" s="219" t="str">
        <f ca="1">IF(ISERROR($V94),"",OFFSET('Smelter Look-up'!$I$4,$V94-4,0))</f>
        <v>Västerbottens län [SE-24]</v>
      </c>
      <c r="K94" s="273"/>
      <c r="L94" s="273"/>
      <c r="M94" s="273"/>
      <c r="N94" s="273"/>
      <c r="O94" s="273"/>
      <c r="P94" s="220"/>
      <c r="Q94" s="274"/>
      <c r="R94" s="217" t="str">
        <f ca="1">IF(ISERROR($V94),"",OFFSET('Smelter Look-up'!$C$4,$V94-4,0)&amp;"")</f>
        <v>Boliden AB</v>
      </c>
      <c r="S94" s="225" t="str">
        <f t="shared" ca="1" si="12"/>
        <v>SE</v>
      </c>
      <c r="T94" s="225" t="str">
        <f ca="1">IF(B94="","",IF(ISERROR(MATCH($J94,SorP!$B$1:$B$6230,0)),"",INDIRECT("'SorP'!$A$"&amp;MATCH($J94,SorP!$B$1:$B$6230,0))))</f>
        <v>SE-AC</v>
      </c>
      <c r="U94" s="241"/>
      <c r="V94" s="275">
        <f ca="1">IF(C94="",NA(),MATCH($B94&amp;$C94,'Smelter Look-up'!$J:$J,0))</f>
        <v>37</v>
      </c>
      <c r="W94" s="276"/>
      <c r="X94" s="276">
        <f t="shared" ca="1" si="13"/>
        <v>0</v>
      </c>
      <c r="Y94" s="276"/>
      <c r="Z94" s="276"/>
      <c r="AB94" s="278" t="str">
        <f t="shared" ca="1" si="14"/>
        <v>GoldBoliden AB</v>
      </c>
    </row>
    <row r="95" spans="1:28" s="277" customFormat="1" ht="51">
      <c r="A95" s="216" t="s">
        <v>678</v>
      </c>
      <c r="B95" s="217" t="str">
        <f ca="1">IF(LEN(A95)=0,"",INDEX('Smelter Look-up'!$A:$A,MATCH($A95,'Smelter Look-up'!$E:$E,0)))</f>
        <v>Gold</v>
      </c>
      <c r="C95" s="221" t="str">
        <f ca="1">IF(LEN(A95)=0,"",INDEX('Smelter Look-up'!$C:$C,MATCH($A95,'Smelter Look-up'!$E:$E,0)))</f>
        <v>C. Hafner GmbH + Co. KG</v>
      </c>
      <c r="D95" s="283"/>
      <c r="E95" s="217" t="str">
        <f ca="1">IF(ISERROR($V95),"",OFFSET('Smelter Look-up'!$D$4,$V95-4,0)&amp;"")</f>
        <v>GERMANY</v>
      </c>
      <c r="F95" s="217" t="str">
        <f ca="1">IF(ISERROR($V95),"",OFFSET('Smelter Look-up'!$E$4,$V95-4,0))</f>
        <v>CID000176</v>
      </c>
      <c r="G95" s="217" t="str">
        <f ca="1">IF(C95=$X$4,"Enter smelter details",IF(ISERROR($V95),"",OFFSET('Smelter Look-up'!$F$4,$V95-4,0)))</f>
        <v>RMI</v>
      </c>
      <c r="H95" s="218">
        <f ca="1">IF(ISERROR($V95),"",OFFSET('Smelter Look-up'!$G$4,$V95-4,0))</f>
        <v>0</v>
      </c>
      <c r="I95" s="219" t="str">
        <f ca="1">IF(ISERROR($V95),"",OFFSET('Smelter Look-up'!$H$4,$V95-4,0))</f>
        <v>Pforzheim</v>
      </c>
      <c r="J95" s="219" t="str">
        <f ca="1">IF(ISERROR($V95),"",OFFSET('Smelter Look-up'!$I$4,$V95-4,0))</f>
        <v>Baden-Württemberg</v>
      </c>
      <c r="K95" s="273"/>
      <c r="L95" s="273"/>
      <c r="M95" s="273"/>
      <c r="N95" s="273"/>
      <c r="O95" s="273"/>
      <c r="P95" s="220"/>
      <c r="Q95" s="274"/>
      <c r="R95" s="217" t="str">
        <f ca="1">IF(ISERROR($V95),"",OFFSET('Smelter Look-up'!$C$4,$V95-4,0)&amp;"")</f>
        <v>C. Hafner GmbH + Co. KG</v>
      </c>
      <c r="S95" s="225" t="str">
        <f t="shared" ca="1" si="12"/>
        <v>DE</v>
      </c>
      <c r="T95" s="225" t="str">
        <f ca="1">IF(B95="","",IF(ISERROR(MATCH($J95,SorP!$B$1:$B$6230,0)),"",INDIRECT("'SorP'!$A$"&amp;MATCH($J95,SorP!$B$1:$B$6230,0))))</f>
        <v>DE-BW</v>
      </c>
      <c r="U95" s="241"/>
      <c r="V95" s="275">
        <f ca="1">IF(C95="",NA(),MATCH($B95&amp;$C95,'Smelter Look-up'!$J:$J,0))</f>
        <v>38</v>
      </c>
      <c r="W95" s="276"/>
      <c r="X95" s="276">
        <f t="shared" ca="1" si="13"/>
        <v>0</v>
      </c>
      <c r="Y95" s="276"/>
      <c r="Z95" s="276"/>
      <c r="AB95" s="278" t="str">
        <f t="shared" ca="1" si="14"/>
        <v>GoldC. Hafner GmbH + Co. KG</v>
      </c>
    </row>
    <row r="96" spans="1:28" s="277" customFormat="1" ht="38.25">
      <c r="A96" s="216" t="s">
        <v>682</v>
      </c>
      <c r="B96" s="217" t="str">
        <f ca="1">IF(LEN(A96)=0,"",INDEX('Smelter Look-up'!$A:$A,MATCH($A96,'Smelter Look-up'!$E:$E,0)))</f>
        <v>Gold</v>
      </c>
      <c r="C96" s="221" t="str">
        <f ca="1">IF(LEN(A96)=0,"",INDEX('Smelter Look-up'!$C:$C,MATCH($A96,'Smelter Look-up'!$E:$E,0)))</f>
        <v>Chimet S.p.A.</v>
      </c>
      <c r="D96" s="283"/>
      <c r="E96" s="217" t="str">
        <f ca="1">IF(ISERROR($V96),"",OFFSET('Smelter Look-up'!$D$4,$V96-4,0)&amp;"")</f>
        <v>ITALY</v>
      </c>
      <c r="F96" s="217" t="str">
        <f ca="1">IF(ISERROR($V96),"",OFFSET('Smelter Look-up'!$E$4,$V96-4,0))</f>
        <v>CID000233</v>
      </c>
      <c r="G96" s="217" t="str">
        <f ca="1">IF(C96=$X$4,"Enter smelter details",IF(ISERROR($V96),"",OFFSET('Smelter Look-up'!$F$4,$V96-4,0)))</f>
        <v>RMI</v>
      </c>
      <c r="H96" s="218">
        <f ca="1">IF(ISERROR($V96),"",OFFSET('Smelter Look-up'!$G$4,$V96-4,0))</f>
        <v>0</v>
      </c>
      <c r="I96" s="219" t="str">
        <f ca="1">IF(ISERROR($V96),"",OFFSET('Smelter Look-up'!$H$4,$V96-4,0))</f>
        <v>Arezzo</v>
      </c>
      <c r="J96" s="219" t="str">
        <f ca="1">IF(ISERROR($V96),"",OFFSET('Smelter Look-up'!$I$4,$V96-4,0))</f>
        <v>Toscana</v>
      </c>
      <c r="K96" s="273"/>
      <c r="L96" s="273"/>
      <c r="M96" s="273"/>
      <c r="N96" s="273"/>
      <c r="O96" s="273"/>
      <c r="P96" s="220"/>
      <c r="Q96" s="274"/>
      <c r="R96" s="217" t="str">
        <f ca="1">IF(ISERROR($V96),"",OFFSET('Smelter Look-up'!$C$4,$V96-4,0)&amp;"")</f>
        <v>Chimet S.p.A.</v>
      </c>
      <c r="S96" s="225" t="str">
        <f t="shared" ca="1" si="12"/>
        <v>IT</v>
      </c>
      <c r="T96" s="225" t="str">
        <f ca="1">IF(B96="","",IF(ISERROR(MATCH($J96,SorP!$B$1:$B$6230,0)),"",INDIRECT("'SorP'!$A$"&amp;MATCH($J96,SorP!$B$1:$B$6230,0))))</f>
        <v>IT-52</v>
      </c>
      <c r="U96" s="241"/>
      <c r="V96" s="275">
        <f ca="1">IF(C96="",NA(),MATCH($B96&amp;$C96,'Smelter Look-up'!$J:$J,0))</f>
        <v>51</v>
      </c>
      <c r="W96" s="276"/>
      <c r="X96" s="276">
        <f t="shared" ca="1" si="13"/>
        <v>0</v>
      </c>
      <c r="Y96" s="276"/>
      <c r="Z96" s="276"/>
      <c r="AB96" s="278" t="str">
        <f t="shared" ca="1" si="14"/>
        <v>GoldChimet S.p.A.</v>
      </c>
    </row>
    <row r="97" spans="1:28" s="277" customFormat="1" ht="51">
      <c r="A97" s="216" t="s">
        <v>694</v>
      </c>
      <c r="B97" s="217" t="str">
        <f ca="1">IF(LEN(A97)=0,"",INDEX('Smelter Look-up'!$A:$A,MATCH($A97,'Smelter Look-up'!$E:$E,0)))</f>
        <v>Gold</v>
      </c>
      <c r="C97" s="221" t="str">
        <f ca="1">IF(LEN(A97)=0,"",INDEX('Smelter Look-up'!$C:$C,MATCH($A97,'Smelter Look-up'!$E:$E,0)))</f>
        <v>Heimerle + Meule GmbH</v>
      </c>
      <c r="D97" s="283"/>
      <c r="E97" s="217" t="str">
        <f ca="1">IF(ISERROR($V97),"",OFFSET('Smelter Look-up'!$D$4,$V97-4,0)&amp;"")</f>
        <v>GERMANY</v>
      </c>
      <c r="F97" s="217" t="str">
        <f ca="1">IF(ISERROR($V97),"",OFFSET('Smelter Look-up'!$E$4,$V97-4,0))</f>
        <v>CID000694</v>
      </c>
      <c r="G97" s="217" t="str">
        <f ca="1">IF(C97=$X$4,"Enter smelter details",IF(ISERROR($V97),"",OFFSET('Smelter Look-up'!$F$4,$V97-4,0)))</f>
        <v>RMI</v>
      </c>
      <c r="H97" s="218">
        <f ca="1">IF(ISERROR($V97),"",OFFSET('Smelter Look-up'!$G$4,$V97-4,0))</f>
        <v>0</v>
      </c>
      <c r="I97" s="219" t="str">
        <f ca="1">IF(ISERROR($V97),"",OFFSET('Smelter Look-up'!$H$4,$V97-4,0))</f>
        <v>Pforzheim</v>
      </c>
      <c r="J97" s="219" t="str">
        <f ca="1">IF(ISERROR($V97),"",OFFSET('Smelter Look-up'!$I$4,$V97-4,0))</f>
        <v>Baden-Württemberg</v>
      </c>
      <c r="K97" s="273"/>
      <c r="L97" s="273"/>
      <c r="M97" s="273"/>
      <c r="N97" s="273"/>
      <c r="O97" s="273"/>
      <c r="P97" s="220"/>
      <c r="Q97" s="274"/>
      <c r="R97" s="217" t="str">
        <f ca="1">IF(ISERROR($V97),"",OFFSET('Smelter Look-up'!$C$4,$V97-4,0)&amp;"")</f>
        <v>Heimerle + Meule GmbH</v>
      </c>
      <c r="S97" s="225" t="str">
        <f t="shared" ca="1" si="12"/>
        <v>DE</v>
      </c>
      <c r="T97" s="225" t="str">
        <f ca="1">IF(B97="","",IF(ISERROR(MATCH($J97,SorP!$B$1:$B$6230,0)),"",INDIRECT("'SorP'!$A$"&amp;MATCH($J97,SorP!$B$1:$B$6230,0))))</f>
        <v>DE-BW</v>
      </c>
      <c r="U97" s="241"/>
      <c r="V97" s="275">
        <f ca="1">IF(C97="",NA(),MATCH($B97&amp;$C97,'Smelter Look-up'!$J:$J,0))</f>
        <v>92</v>
      </c>
      <c r="W97" s="276"/>
      <c r="X97" s="276">
        <f t="shared" ca="1" si="13"/>
        <v>0</v>
      </c>
      <c r="Y97" s="276"/>
      <c r="Z97" s="276"/>
      <c r="AB97" s="278" t="str">
        <f t="shared" ca="1" si="14"/>
        <v>GoldHeimerle + Meule GmbH</v>
      </c>
    </row>
    <row r="98" spans="1:28" s="277" customFormat="1" ht="51">
      <c r="A98" s="216" t="s">
        <v>701</v>
      </c>
      <c r="B98" s="217" t="str">
        <f ca="1">IF(LEN(A98)=0,"",INDEX('Smelter Look-up'!$A:$A,MATCH($A98,'Smelter Look-up'!$E:$E,0)))</f>
        <v>Gold</v>
      </c>
      <c r="C98" s="221" t="str">
        <f ca="1">IF(LEN(A98)=0,"",INDEX('Smelter Look-up'!$C:$C,MATCH($A98,'Smelter Look-up'!$E:$E,0)))</f>
        <v>Istanbul Gold Refinery</v>
      </c>
      <c r="D98" s="283"/>
      <c r="E98" s="217" t="str">
        <f ca="1">IF(ISERROR($V98),"",OFFSET('Smelter Look-up'!$D$4,$V98-4,0)&amp;"")</f>
        <v>TURKEY</v>
      </c>
      <c r="F98" s="217" t="str">
        <f ca="1">IF(ISERROR($V98),"",OFFSET('Smelter Look-up'!$E$4,$V98-4,0))</f>
        <v>CID000814</v>
      </c>
      <c r="G98" s="217" t="str">
        <f ca="1">IF(C98=$X$4,"Enter smelter details",IF(ISERROR($V98),"",OFFSET('Smelter Look-up'!$F$4,$V98-4,0)))</f>
        <v>RMI</v>
      </c>
      <c r="H98" s="218">
        <f ca="1">IF(ISERROR($V98),"",OFFSET('Smelter Look-up'!$G$4,$V98-4,0))</f>
        <v>0</v>
      </c>
      <c r="I98" s="219" t="str">
        <f ca="1">IF(ISERROR($V98),"",OFFSET('Smelter Look-up'!$H$4,$V98-4,0))</f>
        <v>Kuyumcukent</v>
      </c>
      <c r="J98" s="219" t="str">
        <f ca="1">IF(ISERROR($V98),"",OFFSET('Smelter Look-up'!$I$4,$V98-4,0))</f>
        <v>İstanbul</v>
      </c>
      <c r="K98" s="273"/>
      <c r="L98" s="273"/>
      <c r="M98" s="273"/>
      <c r="N98" s="273"/>
      <c r="O98" s="273"/>
      <c r="P98" s="220"/>
      <c r="Q98" s="274"/>
      <c r="R98" s="217" t="str">
        <f ca="1">IF(ISERROR($V98),"",OFFSET('Smelter Look-up'!$C$4,$V98-4,0)&amp;"")</f>
        <v>Istanbul Gold Refinery</v>
      </c>
      <c r="S98" s="225" t="str">
        <f t="shared" ca="1" si="12"/>
        <v>TR</v>
      </c>
      <c r="T98" s="225" t="str">
        <f ca="1">IF(B98="","",IF(ISERROR(MATCH($J98,SorP!$B$1:$B$6230,0)),"",INDIRECT("'SorP'!$A$"&amp;MATCH($J98,SorP!$B$1:$B$6230,0))))</f>
        <v>TR-34</v>
      </c>
      <c r="U98" s="241"/>
      <c r="V98" s="275">
        <f ca="1">IF(C98="",NA(),MATCH($B98&amp;$C98,'Smelter Look-up'!$J:$J,0))</f>
        <v>108</v>
      </c>
      <c r="W98" s="276"/>
      <c r="X98" s="276">
        <f t="shared" ca="1" si="13"/>
        <v>0</v>
      </c>
      <c r="Y98" s="276"/>
      <c r="Z98" s="276"/>
      <c r="AB98" s="278" t="str">
        <f t="shared" ca="1" si="14"/>
        <v>GoldIstanbul Gold Refinery</v>
      </c>
    </row>
    <row r="99" spans="1:28" s="277" customFormat="1" ht="51">
      <c r="A99" s="216" t="s">
        <v>716</v>
      </c>
      <c r="B99" s="217" t="str">
        <f ca="1">IF(LEN(A99)=0,"",INDEX('Smelter Look-up'!$A:$A,MATCH($A99,'Smelter Look-up'!$E:$E,0)))</f>
        <v>Gold</v>
      </c>
      <c r="C99" s="221" t="str">
        <f ca="1">IF(LEN(A99)=0,"",INDEX('Smelter Look-up'!$C:$C,MATCH($A99,'Smelter Look-up'!$E:$E,0)))</f>
        <v>LS-NIKKO Copper Inc.</v>
      </c>
      <c r="D99" s="283"/>
      <c r="E99" s="217" t="str">
        <f ca="1">IF(ISERROR($V99),"",OFFSET('Smelter Look-up'!$D$4,$V99-4,0)&amp;"")</f>
        <v>KOREA, REPUBLIC OF</v>
      </c>
      <c r="F99" s="217" t="str">
        <f ca="1">IF(ISERROR($V99),"",OFFSET('Smelter Look-up'!$E$4,$V99-4,0))</f>
        <v>CID001078</v>
      </c>
      <c r="G99" s="217" t="str">
        <f ca="1">IF(C99=$X$4,"Enter smelter details",IF(ISERROR($V99),"",OFFSET('Smelter Look-up'!$F$4,$V99-4,0)))</f>
        <v>RMI</v>
      </c>
      <c r="H99" s="218">
        <f ca="1">IF(ISERROR($V99),"",OFFSET('Smelter Look-up'!$G$4,$V99-4,0))</f>
        <v>0</v>
      </c>
      <c r="I99" s="219" t="str">
        <f ca="1">IF(ISERROR($V99),"",OFFSET('Smelter Look-up'!$H$4,$V99-4,0))</f>
        <v>Onsan-eup</v>
      </c>
      <c r="J99" s="219" t="str">
        <f ca="1">IF(ISERROR($V99),"",OFFSET('Smelter Look-up'!$I$4,$V99-4,0))</f>
        <v>Ulsan-gwangyeoksi</v>
      </c>
      <c r="K99" s="273"/>
      <c r="L99" s="273"/>
      <c r="M99" s="273"/>
      <c r="N99" s="273"/>
      <c r="O99" s="273"/>
      <c r="P99" s="220"/>
      <c r="Q99" s="274"/>
      <c r="R99" s="217" t="str">
        <f ca="1">IF(ISERROR($V99),"",OFFSET('Smelter Look-up'!$C$4,$V99-4,0)&amp;"")</f>
        <v>LS-NIKKO Copper Inc.</v>
      </c>
      <c r="S99" s="225" t="str">
        <f t="shared" ca="1" si="12"/>
        <v>KR</v>
      </c>
      <c r="T99" s="225" t="str">
        <f ca="1">IF(B99="","",IF(ISERROR(MATCH($J99,SorP!$B$1:$B$6230,0)),"",INDIRECT("'SorP'!$A$"&amp;MATCH($J99,SorP!$B$1:$B$6230,0))))</f>
        <v>KR-31</v>
      </c>
      <c r="U99" s="241"/>
      <c r="V99" s="275">
        <f ca="1">IF(C99="",NA(),MATCH($B99&amp;$C99,'Smelter Look-up'!$J:$J,0))</f>
        <v>143</v>
      </c>
      <c r="W99" s="276"/>
      <c r="X99" s="276">
        <f t="shared" ca="1" si="13"/>
        <v>0</v>
      </c>
      <c r="Y99" s="276"/>
      <c r="Z99" s="276"/>
      <c r="AB99" s="278" t="str">
        <f t="shared" ca="1" si="14"/>
        <v>GoldLS-NIKKO Copper Inc.</v>
      </c>
    </row>
    <row r="100" spans="1:28" s="277" customFormat="1" ht="89.25">
      <c r="A100" s="216" t="s">
        <v>721</v>
      </c>
      <c r="B100" s="217" t="str">
        <f ca="1">IF(LEN(A100)=0,"",INDEX('Smelter Look-up'!$A:$A,MATCH($A100,'Smelter Look-up'!$E:$E,0)))</f>
        <v>Gold</v>
      </c>
      <c r="C100" s="221" t="str">
        <f ca="1">IF(LEN(A100)=0,"",INDEX('Smelter Look-up'!$C:$C,MATCH($A100,'Smelter Look-up'!$E:$E,0)))</f>
        <v>Metalor Technologies (Hong Kong) Ltd.</v>
      </c>
      <c r="D100" s="283"/>
      <c r="E100" s="217" t="str">
        <f ca="1">IF(ISERROR($V100),"",OFFSET('Smelter Look-up'!$D$4,$V100-4,0)&amp;"")</f>
        <v>CHINA</v>
      </c>
      <c r="F100" s="217" t="str">
        <f ca="1">IF(ISERROR($V100),"",OFFSET('Smelter Look-up'!$E$4,$V100-4,0))</f>
        <v>CID001149</v>
      </c>
      <c r="G100" s="217" t="str">
        <f ca="1">IF(C100=$X$4,"Enter smelter details",IF(ISERROR($V100),"",OFFSET('Smelter Look-up'!$F$4,$V100-4,0)))</f>
        <v>RMI</v>
      </c>
      <c r="H100" s="218">
        <f ca="1">IF(ISERROR($V100),"",OFFSET('Smelter Look-up'!$G$4,$V100-4,0))</f>
        <v>0</v>
      </c>
      <c r="I100" s="219" t="str">
        <f ca="1">IF(ISERROR($V100),"",OFFSET('Smelter Look-up'!$H$4,$V100-4,0))</f>
        <v>Kwai Chung</v>
      </c>
      <c r="J100" s="219" t="str">
        <f ca="1">IF(ISERROR($V100),"",OFFSET('Smelter Look-up'!$I$4,$V100-4,0))</f>
        <v>Hong Kong SAR</v>
      </c>
      <c r="K100" s="273"/>
      <c r="L100" s="273"/>
      <c r="M100" s="273"/>
      <c r="N100" s="273"/>
      <c r="O100" s="273"/>
      <c r="P100" s="220"/>
      <c r="Q100" s="274"/>
      <c r="R100" s="217" t="str">
        <f ca="1">IF(ISERROR($V100),"",OFFSET('Smelter Look-up'!$C$4,$V100-4,0)&amp;"")</f>
        <v>Metalor Technologies (Hong Kong) Ltd.</v>
      </c>
      <c r="S100" s="225" t="str">
        <f t="shared" ca="1" si="12"/>
        <v>CN</v>
      </c>
      <c r="T100" s="225" t="str">
        <f ca="1">IF(B100="","",IF(ISERROR(MATCH($J100,SorP!$B$1:$B$6230,0)),"",INDIRECT("'SorP'!$A$"&amp;MATCH($J100,SorP!$B$1:$B$6230,0))))</f>
        <v>CN-HK</v>
      </c>
      <c r="U100" s="241"/>
      <c r="V100" s="275">
        <f ca="1">IF(C100="",NA(),MATCH($B100&amp;$C100,'Smelter Look-up'!$J:$J,0))</f>
        <v>155</v>
      </c>
      <c r="W100" s="276"/>
      <c r="X100" s="276">
        <f t="shared" ca="1" si="13"/>
        <v>0</v>
      </c>
      <c r="Y100" s="276"/>
      <c r="Z100" s="276"/>
      <c r="AB100" s="278" t="str">
        <f t="shared" ca="1" si="14"/>
        <v>GoldMetalor Technologies (Hong Kong) Ltd.</v>
      </c>
    </row>
    <row r="101" spans="1:28" s="277" customFormat="1" ht="25.5">
      <c r="A101" s="216" t="s">
        <v>734</v>
      </c>
      <c r="B101" s="217" t="str">
        <f ca="1">IF(LEN(A101)=0,"",INDEX('Smelter Look-up'!$A:$A,MATCH($A101,'Smelter Look-up'!$E:$E,0)))</f>
        <v>Gold</v>
      </c>
      <c r="C101" s="221" t="str">
        <f ca="1">IF(LEN(A101)=0,"",INDEX('Smelter Look-up'!$C:$C,MATCH($A101,'Smelter Look-up'!$E:$E,0)))</f>
        <v>PAMP S.A.</v>
      </c>
      <c r="D101" s="283"/>
      <c r="E101" s="217" t="str">
        <f ca="1">IF(ISERROR($V101),"",OFFSET('Smelter Look-up'!$D$4,$V101-4,0)&amp;"")</f>
        <v>SWITZERLAND</v>
      </c>
      <c r="F101" s="217" t="str">
        <f ca="1">IF(ISERROR($V101),"",OFFSET('Smelter Look-up'!$E$4,$V101-4,0))</f>
        <v>CID001352</v>
      </c>
      <c r="G101" s="217" t="str">
        <f ca="1">IF(C101=$X$4,"Enter smelter details",IF(ISERROR($V101),"",OFFSET('Smelter Look-up'!$F$4,$V101-4,0)))</f>
        <v>RMI</v>
      </c>
      <c r="H101" s="218">
        <f ca="1">IF(ISERROR($V101),"",OFFSET('Smelter Look-up'!$G$4,$V101-4,0))</f>
        <v>0</v>
      </c>
      <c r="I101" s="219" t="str">
        <f ca="1">IF(ISERROR($V101),"",OFFSET('Smelter Look-up'!$H$4,$V101-4,0))</f>
        <v>Castel San Pietro</v>
      </c>
      <c r="J101" s="219" t="str">
        <f ca="1">IF(ISERROR($V101),"",OFFSET('Smelter Look-up'!$I$4,$V101-4,0))</f>
        <v>Ticino</v>
      </c>
      <c r="K101" s="273"/>
      <c r="L101" s="273"/>
      <c r="M101" s="273"/>
      <c r="N101" s="273"/>
      <c r="O101" s="273"/>
      <c r="P101" s="220"/>
      <c r="Q101" s="274"/>
      <c r="R101" s="217" t="str">
        <f ca="1">IF(ISERROR($V101),"",OFFSET('Smelter Look-up'!$C$4,$V101-4,0)&amp;"")</f>
        <v>PAMP S.A.</v>
      </c>
      <c r="S101" s="225" t="str">
        <f t="shared" ca="1" si="12"/>
        <v>CH</v>
      </c>
      <c r="T101" s="225" t="str">
        <f ca="1">IF(B101="","",IF(ISERROR(MATCH($J101,SorP!$B$1:$B$6230,0)),"",INDIRECT("'SorP'!$A$"&amp;MATCH($J101,SorP!$B$1:$B$6230,0))))</f>
        <v>CH-TI</v>
      </c>
      <c r="U101" s="241"/>
      <c r="V101" s="275">
        <f ca="1">IF(C101="",NA(),MATCH($B101&amp;$C101,'Smelter Look-up'!$J:$J,0))</f>
        <v>184</v>
      </c>
      <c r="W101" s="276"/>
      <c r="X101" s="276">
        <f t="shared" ca="1" si="13"/>
        <v>0</v>
      </c>
      <c r="Y101" s="276"/>
      <c r="Z101" s="276"/>
      <c r="AB101" s="278" t="str">
        <f t="shared" ca="1" si="14"/>
        <v>GoldPAMP S.A.</v>
      </c>
    </row>
    <row r="102" spans="1:28" s="277" customFormat="1" ht="76.5">
      <c r="A102" s="216" t="s">
        <v>756</v>
      </c>
      <c r="B102" s="217" t="str">
        <f ca="1">IF(LEN(A102)=0,"",INDEX('Smelter Look-up'!$A:$A,MATCH($A102,'Smelter Look-up'!$E:$E,0)))</f>
        <v>Gold</v>
      </c>
      <c r="C102" s="221" t="str">
        <f ca="1">IF(LEN(A102)=0,"",INDEX('Smelter Look-up'!$C:$C,MATCH($A102,'Smelter Look-up'!$E:$E,0)))</f>
        <v>United Precious Metal Refining, Inc.</v>
      </c>
      <c r="D102" s="283"/>
      <c r="E102" s="217" t="str">
        <f ca="1">IF(ISERROR($V102),"",OFFSET('Smelter Look-up'!$D$4,$V102-4,0)&amp;"")</f>
        <v>UNITED STATES OF AMERICA</v>
      </c>
      <c r="F102" s="217" t="str">
        <f ca="1">IF(ISERROR($V102),"",OFFSET('Smelter Look-up'!$E$4,$V102-4,0))</f>
        <v>CID001993</v>
      </c>
      <c r="G102" s="217" t="str">
        <f ca="1">IF(C102=$X$4,"Enter smelter details",IF(ISERROR($V102),"",OFFSET('Smelter Look-up'!$F$4,$V102-4,0)))</f>
        <v>RMI</v>
      </c>
      <c r="H102" s="218">
        <f ca="1">IF(ISERROR($V102),"",OFFSET('Smelter Look-up'!$G$4,$V102-4,0))</f>
        <v>0</v>
      </c>
      <c r="I102" s="219" t="str">
        <f ca="1">IF(ISERROR($V102),"",OFFSET('Smelter Look-up'!$H$4,$V102-4,0))</f>
        <v>Alden</v>
      </c>
      <c r="J102" s="219" t="str">
        <f ca="1">IF(ISERROR($V102),"",OFFSET('Smelter Look-up'!$I$4,$V102-4,0))</f>
        <v>New York</v>
      </c>
      <c r="K102" s="273"/>
      <c r="L102" s="273"/>
      <c r="M102" s="273"/>
      <c r="N102" s="273"/>
      <c r="O102" s="273"/>
      <c r="P102" s="220"/>
      <c r="Q102" s="274"/>
      <c r="R102" s="217" t="str">
        <f ca="1">IF(ISERROR($V102),"",OFFSET('Smelter Look-up'!$C$4,$V102-4,0)&amp;"")</f>
        <v>United Precious Metal Refining, Inc.</v>
      </c>
      <c r="S102" s="225" t="str">
        <f t="shared" ref="S102:S132" ca="1" si="15">IF(B102="","",IF(ISERROR(MATCH($E102,CL,0)),"Unknown",INDIRECT("'C'!$A$"&amp;MATCH($E102,CL,0)+1)))</f>
        <v>US</v>
      </c>
      <c r="T102" s="225" t="str">
        <f ca="1">IF(B102="","",IF(ISERROR(MATCH($J102,SorP!$B$1:$B$6230,0)),"",INDIRECT("'SorP'!$A$"&amp;MATCH($J102,SorP!$B$1:$B$6230,0))))</f>
        <v>US-NY</v>
      </c>
      <c r="U102" s="241"/>
      <c r="V102" s="275">
        <f ca="1">IF(C102="",NA(),MATCH($B102&amp;$C102,'Smelter Look-up'!$J:$J,0))</f>
        <v>268</v>
      </c>
      <c r="W102" s="276"/>
      <c r="X102" s="276">
        <f t="shared" ref="X102:X132" ca="1" si="16">IF(AND(C102="Smelter not listed",OR(LEN(D102)=0,LEN(E102)=0)),1,0)</f>
        <v>0</v>
      </c>
      <c r="Y102" s="276"/>
      <c r="Z102" s="276"/>
      <c r="AB102" s="278" t="str">
        <f t="shared" ref="AB102:AB132" ca="1" si="17">B102&amp;C102</f>
        <v>GoldUnited Precious Metal Refining, Inc.</v>
      </c>
    </row>
    <row r="103" spans="1:28" s="277" customFormat="1" ht="89.25">
      <c r="A103" s="216" t="s">
        <v>15506</v>
      </c>
      <c r="B103" s="217" t="str">
        <f ca="1">IF(LEN(A103)=0,"",INDEX('Smelter Look-up'!$A:$A,MATCH($A103,'Smelter Look-up'!$E:$E,0)))</f>
        <v>Tantalum</v>
      </c>
      <c r="C103" s="221" t="str">
        <f ca="1">IF(LEN(A103)=0,"",INDEX('Smelter Look-up'!$C:$C,MATCH($A103,'Smelter Look-up'!$E:$E,0)))</f>
        <v>Mitsui Mining and Smelting Co., Ltd.</v>
      </c>
      <c r="D103" s="283"/>
      <c r="E103" s="217" t="str">
        <f ca="1">IF(ISERROR($V103),"",OFFSET('Smelter Look-up'!$D$4,$V103-4,0)&amp;"")</f>
        <v>JAPAN</v>
      </c>
      <c r="F103" s="217" t="str">
        <f ca="1">IF(ISERROR($V103),"",OFFSET('Smelter Look-up'!$E$4,$V103-4,0))</f>
        <v>CID001192</v>
      </c>
      <c r="G103" s="217" t="str">
        <f ca="1">IF(C103=$X$4,"Enter smelter details",IF(ISERROR($V103),"",OFFSET('Smelter Look-up'!$F$4,$V103-4,0)))</f>
        <v>RMI</v>
      </c>
      <c r="H103" s="218">
        <f ca="1">IF(ISERROR($V103),"",OFFSET('Smelter Look-up'!$G$4,$V103-4,0))</f>
        <v>0</v>
      </c>
      <c r="I103" s="219" t="str">
        <f ca="1">IF(ISERROR($V103),"",OFFSET('Smelter Look-up'!$H$4,$V103-4,0))</f>
        <v>Omuta</v>
      </c>
      <c r="J103" s="219" t="str">
        <f ca="1">IF(ISERROR($V103),"",OFFSET('Smelter Look-up'!$I$4,$V103-4,0))</f>
        <v>Fukuoka</v>
      </c>
      <c r="K103" s="273"/>
      <c r="L103" s="273"/>
      <c r="M103" s="273"/>
      <c r="N103" s="273"/>
      <c r="O103" s="273"/>
      <c r="P103" s="220"/>
      <c r="Q103" s="274"/>
      <c r="R103" s="217" t="str">
        <f ca="1">IF(ISERROR($V103),"",OFFSET('Smelter Look-up'!$C$4,$V103-4,0)&amp;"")</f>
        <v>Mitsui Mining and Smelting Co., Ltd.</v>
      </c>
      <c r="S103" s="225" t="str">
        <f t="shared" ca="1" si="15"/>
        <v>JP</v>
      </c>
      <c r="T103" s="225" t="str">
        <f ca="1">IF(B103="","",IF(ISERROR(MATCH($J103,SorP!$B$1:$B$6230,0)),"",INDIRECT("'SorP'!$A$"&amp;MATCH($J103,SorP!$B$1:$B$6230,0))))</f>
        <v>JP-40</v>
      </c>
      <c r="U103" s="241"/>
      <c r="V103" s="275">
        <f ca="1">IF(C103="",NA(),MATCH($B103&amp;$C103,'Smelter Look-up'!$J:$J,0))</f>
        <v>328</v>
      </c>
      <c r="W103" s="276"/>
      <c r="X103" s="276">
        <f t="shared" ca="1" si="16"/>
        <v>0</v>
      </c>
      <c r="Y103" s="276"/>
      <c r="Z103" s="276"/>
      <c r="AB103" s="278" t="str">
        <f t="shared" ca="1" si="17"/>
        <v>TantalumMitsui Mining and Smelting Co., Ltd.</v>
      </c>
    </row>
    <row r="104" spans="1:28" s="277" customFormat="1" ht="102">
      <c r="A104" s="332" t="s">
        <v>722</v>
      </c>
      <c r="B104" s="217" t="str">
        <f ca="1">IF(LEN(A104)=0,"",INDEX('Smelter Look-up'!$A:$A,MATCH($A104,'Smelter Look-up'!$E:$E,0)))</f>
        <v>Gold</v>
      </c>
      <c r="C104" s="221" t="str">
        <f ca="1">IF(LEN(A104)=0,"",INDEX('Smelter Look-up'!$C:$C,MATCH($A104,'Smelter Look-up'!$E:$E,0)))</f>
        <v>Metalor Technologies (Singapore) Pte., Ltd.</v>
      </c>
      <c r="D104" s="283"/>
      <c r="E104" s="217" t="str">
        <f ca="1">IF(ISERROR($V104),"",OFFSET('Smelter Look-up'!$D$4,$V104-4,0)&amp;"")</f>
        <v>SINGAPORE</v>
      </c>
      <c r="F104" s="217" t="str">
        <f ca="1">IF(ISERROR($V104),"",OFFSET('Smelter Look-up'!$E$4,$V104-4,0))</f>
        <v>CID001152</v>
      </c>
      <c r="G104" s="217" t="str">
        <f ca="1">IF(C104=$X$4,"Enter smelter details",IF(ISERROR($V104),"",OFFSET('Smelter Look-up'!$F$4,$V104-4,0)))</f>
        <v>RMI</v>
      </c>
      <c r="H104" s="218">
        <f ca="1">IF(ISERROR($V104),"",OFFSET('Smelter Look-up'!$G$4,$V104-4,0))</f>
        <v>0</v>
      </c>
      <c r="I104" s="219" t="str">
        <f ca="1">IF(ISERROR($V104),"",OFFSET('Smelter Look-up'!$H$4,$V104-4,0))</f>
        <v>Singapore</v>
      </c>
      <c r="J104" s="219" t="str">
        <f ca="1">IF(ISERROR($V104),"",OFFSET('Smelter Look-up'!$I$4,$V104-4,0))</f>
        <v>South West</v>
      </c>
      <c r="K104" s="273"/>
      <c r="L104" s="273"/>
      <c r="M104" s="273"/>
      <c r="N104" s="273"/>
      <c r="O104" s="273"/>
      <c r="P104" s="220"/>
      <c r="Q104" s="274"/>
      <c r="R104" s="217" t="str">
        <f ca="1">IF(ISERROR($V104),"",OFFSET('Smelter Look-up'!$C$4,$V104-4,0)&amp;"")</f>
        <v>Metalor Technologies (Singapore) Pte., Ltd.</v>
      </c>
      <c r="S104" s="225" t="str">
        <f t="shared" ca="1" si="15"/>
        <v>SG</v>
      </c>
      <c r="T104" s="225" t="str">
        <f ca="1">IF(B104="","",IF(ISERROR(MATCH($J104,SorP!$B$1:$B$6230,0)),"",INDIRECT("'SorP'!$A$"&amp;MATCH($J104,SorP!$B$1:$B$6230,0))))</f>
        <v>SG-05</v>
      </c>
      <c r="U104" s="241"/>
      <c r="V104" s="275">
        <f ca="1">IF(C104="",NA(),MATCH($B104&amp;$C104,'Smelter Look-up'!$J:$J,0))</f>
        <v>156</v>
      </c>
      <c r="W104" s="276"/>
      <c r="X104" s="276">
        <f t="shared" ca="1" si="16"/>
        <v>0</v>
      </c>
      <c r="Y104" s="276"/>
      <c r="Z104" s="276"/>
      <c r="AB104" s="278" t="str">
        <f t="shared" ca="1" si="17"/>
        <v>GoldMetalor Technologies (Singapore) Pte., Ltd.</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4C09C806-1105-43E5-BB6B-6A4EE24CB2CA}"/>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D84" sqref="D8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7" t="str">
        <f ca="1">OFFSET(L!$C$1,MATCH("Checker"&amp;ADDRESS(ROW(),COLUMN(),4),L!$A:$A,0)-1,SL,,)</f>
        <v>To ensure all required fields have been populated before submitting to your customers review form for any line items highlighted in red</v>
      </c>
      <c r="B1" s="447"/>
      <c r="C1" s="447"/>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t="str">
        <f ca="1">IF(H70=0,"0",H70)</f>
        <v>0</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t="str">
        <f>Declaration!D8</f>
        <v>Akoustis Technologies, Inc.</v>
      </c>
      <c r="C4" s="102" t="str">
        <f t="shared" ref="C4" ca="1" si="0">IF(H4=1,J4,I4)</f>
        <v>Complete</v>
      </c>
      <c r="D4" s="108" t="str">
        <f>IF(H4=1,"Click here to enter Company Name","")</f>
        <v/>
      </c>
      <c r="E4" s="84" t="s">
        <v>1330</v>
      </c>
      <c r="F4" s="106">
        <v>1</v>
      </c>
      <c r="G4" s="81">
        <f t="shared" ref="G4" si="1">IF(B4=0,1,0)</f>
        <v>0</v>
      </c>
      <c r="H4" s="82">
        <f>F4*G4</f>
        <v>0</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t="str">
        <f>Declaration!D9</f>
        <v>A. Company</v>
      </c>
      <c r="C5" s="102" t="str">
        <f ca="1">IF(H5=1,J5,I5)</f>
        <v>Complete</v>
      </c>
      <c r="D5" s="108" t="str">
        <f>IF(H5=1,"Click here to enter Declaration Scope","")</f>
        <v/>
      </c>
      <c r="E5" s="84" t="s">
        <v>1330</v>
      </c>
      <c r="F5" s="106">
        <v>1</v>
      </c>
      <c r="G5" s="81">
        <f>IF(B5=0,1,0)</f>
        <v>0</v>
      </c>
      <c r="H5" s="82">
        <f t="shared" ref="H5" si="2">F5*G5</f>
        <v>0</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t="str">
        <f>Declaration!D10</f>
        <v>All Production Released Products</v>
      </c>
      <c r="C6" s="102" t="str">
        <f ca="1">IF(H6=1,J6,I6)</f>
        <v>Complete</v>
      </c>
      <c r="D6" s="108" t="str">
        <f>IF(H6=1,"Click here to provide a Description of Scope","")</f>
        <v/>
      </c>
      <c r="E6" s="84" t="s">
        <v>1330</v>
      </c>
      <c r="F6" s="107">
        <f>IF(OR(B5=Declaration!P9,B5=Declaration!Q9,B5=0),0,1)</f>
        <v>0</v>
      </c>
      <c r="G6" s="81">
        <f>IF(B6=0,1,0)</f>
        <v>0</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t="str">
        <f>Declaration!D15</f>
        <v>Scot Shuford</v>
      </c>
      <c r="C7" s="102" t="str">
        <f ca="1">IF(H7=1,J7,I7)</f>
        <v>Complete</v>
      </c>
      <c r="D7" s="108" t="str">
        <f>IF(H7=1,"Click here to enter Contact Name","")</f>
        <v/>
      </c>
      <c r="E7" s="84" t="s">
        <v>1330</v>
      </c>
      <c r="F7" s="149">
        <v>1</v>
      </c>
      <c r="G7" s="81">
        <f>IF(B7=0,1,0)</f>
        <v>0</v>
      </c>
      <c r="H7" s="82">
        <f t="shared" si="3"/>
        <v>0</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t="str">
        <f>Declaration!D16</f>
        <v>sshuford@akoustis.com</v>
      </c>
      <c r="C8" s="102" t="str">
        <f ca="1">IF(H8=1,J8,I8)</f>
        <v>Complete</v>
      </c>
      <c r="D8" s="108" t="str">
        <f>IF(H8=1,"Click here to enter Email-Contact","")</f>
        <v/>
      </c>
      <c r="E8" s="84" t="s">
        <v>1330</v>
      </c>
      <c r="F8" s="149">
        <v>1</v>
      </c>
      <c r="G8" s="81">
        <f>IF(ISNUMBER(SEARCH("@",B8)),0,1)</f>
        <v>0</v>
      </c>
      <c r="H8" s="82">
        <f t="shared" si="3"/>
        <v>0</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t="str">
        <f>Declaration!D17</f>
        <v>980-689-4970</v>
      </c>
      <c r="C9" s="102" t="str">
        <f ca="1">IF(H9=1,J9,I9)</f>
        <v>Complete</v>
      </c>
      <c r="D9" s="108" t="str">
        <f>IF(H9=1,"Click here to enter Phone-Contact","")</f>
        <v/>
      </c>
      <c r="E9" s="84" t="s">
        <v>1330</v>
      </c>
      <c r="F9" s="149">
        <v>1</v>
      </c>
      <c r="G9" s="81">
        <f>IF(B9=0,1,0)</f>
        <v>0</v>
      </c>
      <c r="H9" s="82">
        <f t="shared" si="3"/>
        <v>0</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t="str">
        <f>Declaration!D18</f>
        <v>Scot Shuford</v>
      </c>
      <c r="C10" s="102" t="str">
        <f t="shared" ref="C10" ca="1" si="4">IF(H10=1,J10,I10)</f>
        <v>Complete</v>
      </c>
      <c r="D10" s="108" t="str">
        <f>IF(H10=1,"Click here to enter an Authorized Company Representative's name","")</f>
        <v/>
      </c>
      <c r="E10" s="84" t="s">
        <v>1330</v>
      </c>
      <c r="F10" s="106">
        <v>1</v>
      </c>
      <c r="G10" s="81">
        <f t="shared" ref="G10" si="5">IF(B10=0,1,0)</f>
        <v>0</v>
      </c>
      <c r="H10" s="82">
        <f t="shared" si="3"/>
        <v>0</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t="str">
        <f>Declaration!D20</f>
        <v>sshuford@akoustis.com</v>
      </c>
      <c r="C11" s="102" t="str">
        <f ca="1">IF(H11=1,J11,I11)</f>
        <v>Complete</v>
      </c>
      <c r="D11" s="108" t="str">
        <f>IF(H11=1,"Click here to enter Representative's email","")</f>
        <v/>
      </c>
      <c r="E11" s="84" t="s">
        <v>1330</v>
      </c>
      <c r="F11" s="106">
        <v>1</v>
      </c>
      <c r="G11" s="81">
        <f>IF(ISNUMBER(SEARCH("@",B11)),0,1)</f>
        <v>0</v>
      </c>
      <c r="H11" s="82">
        <f t="shared" si="3"/>
        <v>0</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44317</v>
      </c>
      <c r="C12" s="102" t="str">
        <f ca="1">IF(H12=1,J12,I12)</f>
        <v>Complete</v>
      </c>
      <c r="D12" s="108" t="str">
        <f>IF(H12=1,"Click here to enter Date of Completion","")</f>
        <v/>
      </c>
      <c r="E12" s="84" t="s">
        <v>1330</v>
      </c>
      <c r="F12" s="106">
        <v>1</v>
      </c>
      <c r="G12" s="81">
        <f>IF(B12=0,1,0)</f>
        <v>0</v>
      </c>
      <c r="H12" s="82">
        <f t="shared" si="3"/>
        <v>0</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t="str">
        <f>Declaration!D26</f>
        <v>Yes</v>
      </c>
      <c r="C14" s="102" t="str">
        <f ca="1">IF(H14=1,J14,I14)</f>
        <v>Complete</v>
      </c>
      <c r="D14" s="108" t="str">
        <f>IF(H14=1,"Click here to answer question 1 for Tantalum","")</f>
        <v/>
      </c>
      <c r="E14" s="84" t="s">
        <v>827</v>
      </c>
      <c r="F14" s="106">
        <v>1</v>
      </c>
      <c r="G14" s="81">
        <f>IF(B14=0,1,0)</f>
        <v>0</v>
      </c>
      <c r="H14" s="82">
        <f t="shared" si="3"/>
        <v>0</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t="str">
        <f>Declaration!D27</f>
        <v>Yes</v>
      </c>
      <c r="C15" s="102" t="str">
        <f ca="1">IF(H15=1,J15,I15)</f>
        <v>Complete</v>
      </c>
      <c r="D15" s="108" t="str">
        <f>IF(H15=1,"Click here to answer question 1 for Tin","")</f>
        <v/>
      </c>
      <c r="E15" s="84" t="s">
        <v>828</v>
      </c>
      <c r="F15" s="106">
        <v>1</v>
      </c>
      <c r="G15" s="81">
        <f>IF(B15=0,1,0)</f>
        <v>0</v>
      </c>
      <c r="H15" s="82">
        <f t="shared" si="3"/>
        <v>0</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t="str">
        <f>Declaration!D28</f>
        <v>Yes</v>
      </c>
      <c r="C16" s="102" t="str">
        <f ca="1">IF(H16=1,J16,I16)</f>
        <v>Complete</v>
      </c>
      <c r="D16" s="108" t="str">
        <f>IF(H16=1,"Click here to answer question 1 for Gold","")</f>
        <v/>
      </c>
      <c r="E16" s="84" t="s">
        <v>828</v>
      </c>
      <c r="F16" s="106">
        <v>1</v>
      </c>
      <c r="G16" s="81">
        <f>IF(B16=0,1,0)</f>
        <v>0</v>
      </c>
      <c r="H16" s="82">
        <f t="shared" si="3"/>
        <v>0</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t="str">
        <f>Declaration!D29</f>
        <v>Yes</v>
      </c>
      <c r="C17" s="102" t="str">
        <f ca="1">IF(H17=1,J17,I17)</f>
        <v>Complete</v>
      </c>
      <c r="D17" s="108" t="str">
        <f>IF(H17=1,"Click here to answer question 1 for Tungsten","")</f>
        <v/>
      </c>
      <c r="E17" s="84" t="s">
        <v>828</v>
      </c>
      <c r="F17" s="106">
        <v>1</v>
      </c>
      <c r="G17" s="81">
        <f>IF(B17=0,1,0)</f>
        <v>0</v>
      </c>
      <c r="H17" s="82">
        <f t="shared" si="3"/>
        <v>0</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t="str">
        <f>IF($B$14="Yes",Declaration!D32,0)</f>
        <v>Yes</v>
      </c>
      <c r="C19" s="102" t="str">
        <f ca="1">IF(H19=1,J19,I19)</f>
        <v>Complete</v>
      </c>
      <c r="D19" s="110" t="str">
        <f>IF(H19=1,"Click here to answer question 2 for Tantalum","")</f>
        <v/>
      </c>
      <c r="E19" s="84" t="s">
        <v>828</v>
      </c>
      <c r="F19" s="107">
        <f>IF(B$14="No",0,1)</f>
        <v>1</v>
      </c>
      <c r="G19" s="81">
        <f>IF(B19=0,1,0)</f>
        <v>0</v>
      </c>
      <c r="H19" s="82">
        <f>F19*G19</f>
        <v>0</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t="str">
        <f>IF($B$15="Yes",Declaration!D33,0)</f>
        <v>Yes</v>
      </c>
      <c r="C20" s="102" t="str">
        <f ca="1">IF(H20=1,J20,I20)</f>
        <v>Complete</v>
      </c>
      <c r="D20" s="110" t="str">
        <f>IF(H20=1,"Click here to answer question 2 for Tin","")</f>
        <v/>
      </c>
      <c r="E20" s="84" t="s">
        <v>828</v>
      </c>
      <c r="F20" s="107">
        <f>IF(B$15="No",0,1)</f>
        <v>1</v>
      </c>
      <c r="G20" s="81">
        <f>IF(B20=0,1,0)</f>
        <v>0</v>
      </c>
      <c r="H20" s="82">
        <f>F20*G20</f>
        <v>0</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t="str">
        <f>IF($B$16="Yes",Declaration!D34,0)</f>
        <v>Yes</v>
      </c>
      <c r="C21" s="102" t="str">
        <f ca="1">IF(H21=1,J21,I21)</f>
        <v>Complete</v>
      </c>
      <c r="D21" s="110" t="str">
        <f>IF(H21=1,"Click here to answer question 2 for Gold","")</f>
        <v/>
      </c>
      <c r="E21" s="84" t="s">
        <v>828</v>
      </c>
      <c r="F21" s="107">
        <f>IF(B$16="No",0,1)</f>
        <v>1</v>
      </c>
      <c r="G21" s="81">
        <f>IF(B21=0,1,0)</f>
        <v>0</v>
      </c>
      <c r="H21" s="82">
        <f>F21*G21</f>
        <v>0</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t="str">
        <f>IF($B$17="Yes",Declaration!D35,0)</f>
        <v>Yes</v>
      </c>
      <c r="C22" s="102" t="str">
        <f ca="1">IF(H22=1,J22,I22)</f>
        <v>Complete</v>
      </c>
      <c r="D22" s="110" t="str">
        <f>IF(H22=1,"Click here to answer question 2 for Tungsten","")</f>
        <v/>
      </c>
      <c r="E22" s="84" t="s">
        <v>828</v>
      </c>
      <c r="F22" s="107">
        <f>IF(B$17="No",0,1)</f>
        <v>1</v>
      </c>
      <c r="G22" s="81">
        <f>IF(B22=0,1,0)</f>
        <v>0</v>
      </c>
      <c r="H22" s="82">
        <f>F22*G22</f>
        <v>0</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t="str">
        <f>IF(AND($B$14="Yes",$B$19="Yes"),Declaration!D38,0)</f>
        <v>Yes</v>
      </c>
      <c r="C24" s="102" t="str">
        <f ca="1">IF(H24=1,J24,I24)</f>
        <v>Complete</v>
      </c>
      <c r="D24" s="110" t="str">
        <f>IF(H24=1,"Click here to answer question 3 for Tantalum","")</f>
        <v/>
      </c>
      <c r="E24" s="84" t="s">
        <v>828</v>
      </c>
      <c r="F24" s="107">
        <f>IF(OR(B14="No",B19="No"),0,1)</f>
        <v>1</v>
      </c>
      <c r="G24" s="81">
        <f t="shared" ref="G24" si="6">IF(B24=0,1,0)</f>
        <v>0</v>
      </c>
      <c r="H24" s="82">
        <f t="shared" ref="H24" si="7">F24*G24</f>
        <v>0</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t="str">
        <f>IF(AND($B$15="Yes",$B$20="Yes"),Declaration!D39,0)</f>
        <v>Yes</v>
      </c>
      <c r="C25" s="102" t="str">
        <f ca="1">IF(H25=1,J25,I25)</f>
        <v>Complete</v>
      </c>
      <c r="D25" s="110" t="str">
        <f>IF(H25=1,"Click here to answer question 3 for Tin","")</f>
        <v/>
      </c>
      <c r="E25" s="84" t="s">
        <v>828</v>
      </c>
      <c r="F25" s="107">
        <f>IF(OR(B15="No",B20="No"),0,1)</f>
        <v>1</v>
      </c>
      <c r="G25" s="81">
        <f>IF(B25=0,1,0)</f>
        <v>0</v>
      </c>
      <c r="H25" s="82">
        <f>F25*G25</f>
        <v>0</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t="str">
        <f>IF(AND($B$16="Yes",$B$21="Yes"),Declaration!D40,0)</f>
        <v>Yes</v>
      </c>
      <c r="C26" s="102" t="str">
        <f ca="1">IF(H26=1,J26,I26)</f>
        <v>Complete</v>
      </c>
      <c r="D26" s="110" t="str">
        <f>IF(H26=1,"Click here to answer question 3 for Gold","")</f>
        <v/>
      </c>
      <c r="E26" s="84" t="s">
        <v>828</v>
      </c>
      <c r="F26" s="107">
        <f>IF(OR(B16="No",B21="No"),0,1)</f>
        <v>1</v>
      </c>
      <c r="G26" s="81">
        <f>IF(B26=0,1,0)</f>
        <v>0</v>
      </c>
      <c r="H26" s="82">
        <f>F26*G26</f>
        <v>0</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t="str">
        <f>IF(AND($B$17="Yes",$B$22="Yes"),Declaration!D41,0)</f>
        <v>Yes</v>
      </c>
      <c r="C27" s="102" t="str">
        <f ca="1">IF(H27=1,J27,I27)</f>
        <v>Complete</v>
      </c>
      <c r="D27" s="110" t="str">
        <f>IF(H27=1,"Click here to answer question 3 for Tungsten","")</f>
        <v/>
      </c>
      <c r="E27" s="84" t="s">
        <v>828</v>
      </c>
      <c r="F27" s="107">
        <f>IF(OR(B17="No",B22="No"),0,1)</f>
        <v>1</v>
      </c>
      <c r="G27" s="81">
        <f>IF(B27=0,1,0)</f>
        <v>0</v>
      </c>
      <c r="H27" s="82">
        <f>F27*G27</f>
        <v>0</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t="str">
        <f>IF(AND($B$14="Yes",$B$19="Yes"),Declaration!D44,0)</f>
        <v>No</v>
      </c>
      <c r="C29" s="102" t="str">
        <f ca="1">IF(H29=1,J29,I29)</f>
        <v>Complete</v>
      </c>
      <c r="D29" s="330" t="str">
        <f>IF(H29=1,"Click here to answer question 4 for Tantalum","")</f>
        <v/>
      </c>
      <c r="E29" s="84"/>
      <c r="F29" s="107">
        <f>F24</f>
        <v>1</v>
      </c>
      <c r="G29" s="81">
        <f t="shared" ref="G29" si="8">IF(B29=0,1,0)</f>
        <v>0</v>
      </c>
      <c r="H29" s="82">
        <f t="shared" ref="H29" si="9">F29*G29</f>
        <v>0</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t="str">
        <f>IF(AND($B$15="Yes",$B$20="Yes"),Declaration!D45,0)</f>
        <v>Yes</v>
      </c>
      <c r="C30" s="102" t="str">
        <f ca="1">IF(H30=1,J30,I30)</f>
        <v>Complete</v>
      </c>
      <c r="D30" s="330" t="str">
        <f>IF(H30=1,"Click here to answer question 4 for Tin","")</f>
        <v/>
      </c>
      <c r="E30" s="84"/>
      <c r="F30" s="107">
        <f>F25</f>
        <v>1</v>
      </c>
      <c r="G30" s="81">
        <f>IF(B30=0,1,0)</f>
        <v>0</v>
      </c>
      <c r="H30" s="82">
        <f>F30*G30</f>
        <v>0</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t="str">
        <f>IF(AND($B$16="Yes",$B$21="Yes"),Declaration!D46,0)</f>
        <v>No</v>
      </c>
      <c r="C31" s="102" t="str">
        <f ca="1">IF(H31=1,J31,I31)</f>
        <v>Complete</v>
      </c>
      <c r="D31" s="330" t="str">
        <f>IF(H31=1,"Click here to answer question 4 for Gold","")</f>
        <v/>
      </c>
      <c r="E31" s="84"/>
      <c r="F31" s="107">
        <f>F26</f>
        <v>1</v>
      </c>
      <c r="G31" s="81">
        <f>IF(B31=0,1,0)</f>
        <v>0</v>
      </c>
      <c r="H31" s="82">
        <f>F31*G31</f>
        <v>0</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t="str">
        <f>IF(AND($B$17="Yes",$B$22="Yes"),Declaration!D47,0)</f>
        <v>No</v>
      </c>
      <c r="C32" s="102" t="str">
        <f ca="1">IF(H32=1,J32,I32)</f>
        <v>Complete</v>
      </c>
      <c r="D32" s="330" t="str">
        <f>IF(H32=1,"Click here to answer question 4 for Tungsten","")</f>
        <v/>
      </c>
      <c r="E32" s="84"/>
      <c r="F32" s="107">
        <f>F27</f>
        <v>1</v>
      </c>
      <c r="G32" s="81">
        <f>IF(B32=0,1,0)</f>
        <v>0</v>
      </c>
      <c r="H32" s="82">
        <f>F32*G32</f>
        <v>0</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39">
      <c r="A34" s="103" t="str">
        <f ca="1">Declaration!B50</f>
        <v>Tantalum  (*)</v>
      </c>
      <c r="B34" s="102" t="str">
        <f>IF(AND($B$14="Yes",$B$19="Yes"),Declaration!D50,0)</f>
        <v>No</v>
      </c>
      <c r="C34" s="102" t="str">
        <f ca="1">IF(H34=1,J34,I34)</f>
        <v>Complete</v>
      </c>
      <c r="D34" s="330" t="str">
        <f>IF(H34=1,"Click here to answer question 5 for Tantalum","")</f>
        <v/>
      </c>
      <c r="E34" s="84" t="s">
        <v>1330</v>
      </c>
      <c r="F34" s="107">
        <f>F24</f>
        <v>1</v>
      </c>
      <c r="G34" s="81">
        <f>IF(B34=0,1,0)</f>
        <v>0</v>
      </c>
      <c r="H34" s="82">
        <f>F34*G34</f>
        <v>0</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t="str">
        <f>IF(AND($B$15="Yes",$B$20="Yes"),Declaration!D51,0)</f>
        <v>No</v>
      </c>
      <c r="C35" s="102" t="str">
        <f ca="1">IF(H35=1,J35,I35)</f>
        <v>Complete</v>
      </c>
      <c r="D35" s="330" t="str">
        <f>IF(H35=1,"Click here to answer question 5 for Tin","")</f>
        <v/>
      </c>
      <c r="E35" s="84" t="s">
        <v>1330</v>
      </c>
      <c r="F35" s="107">
        <f>F25</f>
        <v>1</v>
      </c>
      <c r="G35" s="81">
        <f>IF(B35=0,1,0)</f>
        <v>0</v>
      </c>
      <c r="H35" s="82">
        <f>F35*G35</f>
        <v>0</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t="str">
        <f>IF(AND($B$16="Yes",$B$21="Yes"),Declaration!D52,0)</f>
        <v>No</v>
      </c>
      <c r="C36" s="102" t="str">
        <f ca="1">IF(H36=1,J36,I36)</f>
        <v>Complete</v>
      </c>
      <c r="D36" s="330" t="str">
        <f>IF(H36=1,"Click here to answer question 5 for Gold","")</f>
        <v/>
      </c>
      <c r="E36" s="84" t="s">
        <v>1330</v>
      </c>
      <c r="F36" s="107">
        <f>F26</f>
        <v>1</v>
      </c>
      <c r="G36" s="81">
        <f>IF(B36=0,1,0)</f>
        <v>0</v>
      </c>
      <c r="H36" s="82">
        <f>F36*G36</f>
        <v>0</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39">
      <c r="A37" s="103" t="str">
        <f ca="1">Declaration!B53</f>
        <v>Tungsten  (*)</v>
      </c>
      <c r="B37" s="102" t="str">
        <f>IF(AND($B$17="Yes",$B$22="Yes"),Declaration!D53,0)</f>
        <v>No</v>
      </c>
      <c r="C37" s="102" t="str">
        <f ca="1">IF(H37=1,J37,I37)</f>
        <v>Complete</v>
      </c>
      <c r="D37" s="330" t="str">
        <f>IF(H37=1,"Click here to answer question 5 for Tungsten","")</f>
        <v/>
      </c>
      <c r="E37" s="84" t="s">
        <v>1330</v>
      </c>
      <c r="F37" s="107">
        <f>F27</f>
        <v>1</v>
      </c>
      <c r="G37" s="81">
        <f>IF(B37=0,1,0)</f>
        <v>0</v>
      </c>
      <c r="H37" s="82">
        <f>F37*G37</f>
        <v>0</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1</v>
      </c>
      <c r="C39" s="102" t="str">
        <f ca="1">IF(H39=1,J39,I39)</f>
        <v>Complete</v>
      </c>
      <c r="D39" s="331" t="str">
        <f>IF(H39=1,"Click here to answer question 6 for Tantalum","")</f>
        <v/>
      </c>
      <c r="E39" s="84" t="s">
        <v>827</v>
      </c>
      <c r="F39" s="107">
        <f>F24</f>
        <v>1</v>
      </c>
      <c r="G39" s="81">
        <f>IF(B39=0,1,0)</f>
        <v>0</v>
      </c>
      <c r="H39" s="82">
        <f>F39*G39</f>
        <v>0</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1</v>
      </c>
      <c r="C40" s="102" t="str">
        <f ca="1">IF(H40=1,J40,I40)</f>
        <v>Complete</v>
      </c>
      <c r="D40" s="331" t="str">
        <f>IF(H40=1,"Click here to answer question 6 for Tin","")</f>
        <v/>
      </c>
      <c r="E40" s="84" t="s">
        <v>827</v>
      </c>
      <c r="F40" s="107">
        <f>F25</f>
        <v>1</v>
      </c>
      <c r="G40" s="81">
        <f>IF(B40=0,1,0)</f>
        <v>0</v>
      </c>
      <c r="H40" s="82">
        <f>F40*G40</f>
        <v>0</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1</v>
      </c>
      <c r="C41" s="102" t="str">
        <f ca="1">IF(H41=1,J41,I41)</f>
        <v>Complete</v>
      </c>
      <c r="D41" s="331" t="str">
        <f>IF(H41=1,"Click here to answer question 6 for Gold","")</f>
        <v/>
      </c>
      <c r="E41" s="84" t="s">
        <v>827</v>
      </c>
      <c r="F41" s="107">
        <f>F26</f>
        <v>1</v>
      </c>
      <c r="G41" s="81">
        <f>IF(B41=0,1,0)</f>
        <v>0</v>
      </c>
      <c r="H41" s="82">
        <f>F41*G41</f>
        <v>0</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f>IF(AND($B$17="Yes",$B$22="Yes"),Declaration!D59,0)</f>
        <v>1</v>
      </c>
      <c r="C42" s="102" t="str">
        <f ca="1">IF(H42=1,J42,I42)</f>
        <v>Complete</v>
      </c>
      <c r="D42" s="331" t="str">
        <f>IF(H42=1,"Click here to answer question 6 for Tungsten","")</f>
        <v/>
      </c>
      <c r="E42" s="84" t="s">
        <v>827</v>
      </c>
      <c r="F42" s="107">
        <f>F27</f>
        <v>1</v>
      </c>
      <c r="G42" s="81">
        <f>IF(B42=0,1,0)</f>
        <v>0</v>
      </c>
      <c r="H42" s="82">
        <f>F42*G42</f>
        <v>0</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t="str">
        <f>IF(AND($B$14="Yes",$B$19="Yes"),Declaration!D62,0)</f>
        <v>Yes</v>
      </c>
      <c r="C44" s="102" t="str">
        <f ca="1">IF(H44=1,J44,I44)</f>
        <v>Complete</v>
      </c>
      <c r="D44" s="330" t="str">
        <f>IF(H44=1,"Click here to answer question 7 for Tantalum","")</f>
        <v/>
      </c>
      <c r="E44" s="84" t="s">
        <v>1326</v>
      </c>
      <c r="F44" s="107">
        <f>F24</f>
        <v>1</v>
      </c>
      <c r="G44" s="81">
        <f>IF(B44=0,1,0)</f>
        <v>0</v>
      </c>
      <c r="H44" s="82">
        <f>F44*G44</f>
        <v>0</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t="str">
        <f>IF(AND($B$15="Yes",$B$20="Yes"),Declaration!D63,0)</f>
        <v>Yes</v>
      </c>
      <c r="C45" s="102" t="str">
        <f ca="1">IF(H45=1,J45,I45)</f>
        <v>Complete</v>
      </c>
      <c r="D45" s="330" t="str">
        <f>IF(H45=1,"Click here to answer question 7 for Tin","")</f>
        <v/>
      </c>
      <c r="E45" s="84" t="s">
        <v>1326</v>
      </c>
      <c r="F45" s="107">
        <f>F25</f>
        <v>1</v>
      </c>
      <c r="G45" s="81">
        <f>IF(B45=0,1,0)</f>
        <v>0</v>
      </c>
      <c r="H45" s="82">
        <f>F45*G45</f>
        <v>0</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t="str">
        <f>IF(AND($B$16="Yes",$B$21="Yes"),Declaration!D64,0)</f>
        <v>Yes</v>
      </c>
      <c r="C46" s="102" t="str">
        <f ca="1">IF(H46=1,J46,I46)</f>
        <v>Complete</v>
      </c>
      <c r="D46" s="330" t="str">
        <f>IF(H46=1,"Click here to answer question 7 for Gold","")</f>
        <v/>
      </c>
      <c r="E46" s="84" t="s">
        <v>1326</v>
      </c>
      <c r="F46" s="107">
        <f>F26</f>
        <v>1</v>
      </c>
      <c r="G46" s="81">
        <f>IF(B46=0,1,0)</f>
        <v>0</v>
      </c>
      <c r="H46" s="82">
        <f>F46*G46</f>
        <v>0</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t="str">
        <f>IF(AND($B$17="Yes",$B$22="Yes"),Declaration!D65,0)</f>
        <v>Yes</v>
      </c>
      <c r="C47" s="102" t="str">
        <f ca="1">IF(H47=1,J47,I47)</f>
        <v>Complete</v>
      </c>
      <c r="D47" s="330" t="str">
        <f>IF(H47=1,"Click here to answer question 7 for Tungsten","")</f>
        <v/>
      </c>
      <c r="E47" s="84" t="s">
        <v>1326</v>
      </c>
      <c r="F47" s="107">
        <f>F27</f>
        <v>1</v>
      </c>
      <c r="G47" s="81">
        <f>IF(B47=0,1,0)</f>
        <v>0</v>
      </c>
      <c r="H47" s="82">
        <f>F47*G47</f>
        <v>0</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t="str">
        <f>IF(AND($B$14="Yes",$B$19="Yes"),Declaration!D68,0)</f>
        <v>Yes</v>
      </c>
      <c r="C49" s="102" t="str">
        <f ca="1">IF(H49=1,J49,I49)</f>
        <v>Complete</v>
      </c>
      <c r="D49" s="331" t="str">
        <f>IF(H49=1,"Click here to answer question 8 for Tantalum","")</f>
        <v/>
      </c>
      <c r="E49" s="84" t="s">
        <v>828</v>
      </c>
      <c r="F49" s="107">
        <f>F24</f>
        <v>1</v>
      </c>
      <c r="G49" s="81">
        <f>IF(B49=0,1,0)</f>
        <v>0</v>
      </c>
      <c r="H49" s="82">
        <f>F49*G49</f>
        <v>0</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t="str">
        <f>IF(AND($B$15="Yes",$B$20="Yes"),Declaration!D69,0)</f>
        <v>Yes</v>
      </c>
      <c r="C50" s="102" t="str">
        <f ca="1">IF(H50=1,J50,I50)</f>
        <v>Complete</v>
      </c>
      <c r="D50" s="331" t="str">
        <f>IF(H50=1,"Click here to answer question 8 for Tin","")</f>
        <v/>
      </c>
      <c r="E50" s="84" t="s">
        <v>828</v>
      </c>
      <c r="F50" s="107">
        <f>F25</f>
        <v>1</v>
      </c>
      <c r="G50" s="81">
        <f>IF(B50=0,1,0)</f>
        <v>0</v>
      </c>
      <c r="H50" s="82">
        <f>F50*G50</f>
        <v>0</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t="str">
        <f>IF(AND($B$16="Yes",$B$21="Yes"),Declaration!D70,0)</f>
        <v>Yes</v>
      </c>
      <c r="C51" s="102" t="str">
        <f ca="1">IF(H51=1,J51,I51)</f>
        <v>Complete</v>
      </c>
      <c r="D51" s="331" t="str">
        <f>IF(H51=1,"Click here to answer question 8 for Gold","")</f>
        <v/>
      </c>
      <c r="E51" s="84" t="s">
        <v>828</v>
      </c>
      <c r="F51" s="107">
        <f>F26</f>
        <v>1</v>
      </c>
      <c r="G51" s="81">
        <f>IF(B51=0,1,0)</f>
        <v>0</v>
      </c>
      <c r="H51" s="82">
        <f>F51*G51</f>
        <v>0</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t="str">
        <f>IF(AND($B$17="Yes",$B$22="Yes"),Declaration!D71,0)</f>
        <v>Yes</v>
      </c>
      <c r="C52" s="102" t="str">
        <f ca="1">IF(H52=1,J52,I52)</f>
        <v>Complete</v>
      </c>
      <c r="D52" s="331" t="str">
        <f>IF(H52=1,"Click here to answer question 8 for Tungsten","")</f>
        <v/>
      </c>
      <c r="E52" s="84" t="s">
        <v>828</v>
      </c>
      <c r="F52" s="107">
        <f>F27</f>
        <v>1</v>
      </c>
      <c r="G52" s="81">
        <f>IF(B52=0,1,0)</f>
        <v>0</v>
      </c>
      <c r="H52" s="82">
        <f>F52*G52</f>
        <v>0</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t="str">
        <f>Declaration!D75</f>
        <v>Yes</v>
      </c>
      <c r="C54" s="102" t="str">
        <f t="shared" ref="C54:C60" ca="1" si="10">IF(H54=1,J54,I54)</f>
        <v>Complete</v>
      </c>
      <c r="D54" s="108" t="str">
        <f>IF(H54=1,"Click here to answer question (A)","")</f>
        <v/>
      </c>
      <c r="E54" s="84" t="s">
        <v>1330</v>
      </c>
      <c r="F54" s="107">
        <f>IF(SUM(F$24:F$27)=0,0,1)</f>
        <v>1</v>
      </c>
      <c r="G54" s="81">
        <f>IF(B54=0,1,0)</f>
        <v>0</v>
      </c>
      <c r="H54" s="82">
        <f t="shared" ref="H54:H60" si="11">F54*G54</f>
        <v>0</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t="str">
        <f>Declaration!D77</f>
        <v>Yes</v>
      </c>
      <c r="C55" s="102" t="str">
        <f t="shared" ca="1" si="10"/>
        <v>Complete</v>
      </c>
      <c r="D55" s="108" t="str">
        <f>IF(H55=1,"Click here to answer question (B)","")</f>
        <v/>
      </c>
      <c r="E55" s="84" t="s">
        <v>1330</v>
      </c>
      <c r="F55" s="107">
        <f t="shared" ref="F55" si="12">F$54</f>
        <v>1</v>
      </c>
      <c r="G55" s="81">
        <f>IF(B55=0,1,0)</f>
        <v>0</v>
      </c>
      <c r="H55" s="82">
        <f t="shared" si="11"/>
        <v>0</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t="str">
        <f>Declaration!G77</f>
        <v>https://akoustis.com/wp-content/uploads/2020/06/AKOUSTIS-TECHNOLOGIES-Conflict-Minerals-Statement.v2.pdf</v>
      </c>
      <c r="C56" s="102" t="str">
        <f t="shared" ca="1" si="10"/>
        <v>Complete</v>
      </c>
      <c r="D56" s="108" t="str">
        <f>IF(H56=1,"Click here to specify URL for question (B)","")</f>
        <v/>
      </c>
      <c r="E56" s="84"/>
      <c r="F56" s="107">
        <f>IF(AND(F55=1,B55="Yes"),1,0)</f>
        <v>1</v>
      </c>
      <c r="G56" s="81">
        <f>IF(LEN(B56)&gt;1,0,1)</f>
        <v>0</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51">
      <c r="A57" s="102" t="str">
        <f ca="1">Declaration!B79</f>
        <v>C. Do you require your direct suppliers to source the 3TG from smelters whose due diligence practices have been validated by an independent third party audit program? (*)</v>
      </c>
      <c r="B57" s="102" t="str">
        <f>Declaration!D79</f>
        <v>Yes</v>
      </c>
      <c r="C57" s="102" t="str">
        <f t="shared" ca="1" si="10"/>
        <v>Complete</v>
      </c>
      <c r="D57" s="108" t="str">
        <f>IF(H57=1,"Click here to answer question (C)","")</f>
        <v/>
      </c>
      <c r="E57" s="84" t="s">
        <v>1330</v>
      </c>
      <c r="F57" s="107">
        <f>F$54</f>
        <v>1</v>
      </c>
      <c r="G57" s="81">
        <f>IF(B57=0,1,0)</f>
        <v>0</v>
      </c>
      <c r="H57" s="82">
        <f t="shared" si="11"/>
        <v>0</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t="str">
        <f>Declaration!D81</f>
        <v>Yes</v>
      </c>
      <c r="C58" s="102" t="str">
        <f t="shared" ca="1" si="10"/>
        <v>Complete</v>
      </c>
      <c r="D58" s="108" t="str">
        <f>IF(H58=1,"Click here to answer question (D)","")</f>
        <v/>
      </c>
      <c r="E58" s="84" t="s">
        <v>1330</v>
      </c>
      <c r="F58" s="107">
        <f>F$54</f>
        <v>1</v>
      </c>
      <c r="G58" s="81">
        <f>IF(B58=0,1,0)</f>
        <v>0</v>
      </c>
      <c r="H58" s="82">
        <f t="shared" si="11"/>
        <v>0</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t="str">
        <f>Declaration!D83</f>
        <v>Yes, in conformance with IPC1755 (e.g., CMRT)</v>
      </c>
      <c r="C59" s="102" t="str">
        <f t="shared" ca="1" si="10"/>
        <v>Complete</v>
      </c>
      <c r="D59" s="108" t="str">
        <f>IF(H59=1,"Click here to answer question (E)","")</f>
        <v/>
      </c>
      <c r="E59" s="84" t="s">
        <v>1330</v>
      </c>
      <c r="F59" s="107">
        <f>F$54</f>
        <v>1</v>
      </c>
      <c r="G59" s="81">
        <f>IF(B59=0,1,0)</f>
        <v>0</v>
      </c>
      <c r="H59" s="82">
        <f t="shared" si="11"/>
        <v>0</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t="str">
        <f>Declaration!D85</f>
        <v>Yes</v>
      </c>
      <c r="C60" s="102" t="str">
        <f t="shared" ca="1" si="10"/>
        <v>Complete</v>
      </c>
      <c r="D60" s="108" t="str">
        <f>IF(H60=1,"Click here to answer question (F)","")</f>
        <v/>
      </c>
      <c r="E60" s="84" t="s">
        <v>1330</v>
      </c>
      <c r="F60" s="107">
        <f>F$54</f>
        <v>1</v>
      </c>
      <c r="G60" s="81">
        <f>IF(B60=0,1,0)</f>
        <v>0</v>
      </c>
      <c r="H60" s="82">
        <f t="shared" si="11"/>
        <v>0</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t="str">
        <f>Declaration!D87</f>
        <v>Yes</v>
      </c>
      <c r="C62" s="102" t="str">
        <f t="shared" ref="C62:C68" ca="1" si="13">IF(H62=1,J62,I62)</f>
        <v>Complete</v>
      </c>
      <c r="D62" s="108" t="str">
        <f>IF(H62=1,"Click here to answer question (G)","")</f>
        <v/>
      </c>
      <c r="E62" s="84" t="s">
        <v>1330</v>
      </c>
      <c r="F62" s="107">
        <f>F$54</f>
        <v>1</v>
      </c>
      <c r="G62" s="81">
        <f>IF(B62=0,1,0)</f>
        <v>0</v>
      </c>
      <c r="H62" s="82">
        <f t="shared" ref="H62:H69" si="14">F62*G62</f>
        <v>0</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t="str">
        <f>Declaration!D89</f>
        <v>Yes, with the SEC</v>
      </c>
      <c r="C63" s="102" t="str">
        <f t="shared" ca="1" si="13"/>
        <v>Complete</v>
      </c>
      <c r="D63" s="108" t="str">
        <f>IF(H63=1,"Click here to answer question (H)","")</f>
        <v/>
      </c>
      <c r="E63" s="84" t="s">
        <v>1330</v>
      </c>
      <c r="F63" s="107">
        <f>F$54</f>
        <v>1</v>
      </c>
      <c r="G63" s="81">
        <f>IF(B63=0,1,0)</f>
        <v>0</v>
      </c>
      <c r="H63" s="82">
        <f t="shared" si="14"/>
        <v>0</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Complete</v>
      </c>
      <c r="D65" s="108" t="str">
        <f ca="1">IF(H65=0,"","Click here to provide smelter information")</f>
        <v/>
      </c>
      <c r="E65" s="84" t="s">
        <v>1330</v>
      </c>
      <c r="F65" s="107">
        <f>F24</f>
        <v>1</v>
      </c>
      <c r="G65" s="81">
        <f ca="1">IF(AND(COUNTIF(SmelterIdetifiedForMetal,"Tantalum")&gt;0,COUNTIF('Smelter List'!AB$5:AB$2504,"Tantalum?*")&gt;0),0,1)</f>
        <v>0</v>
      </c>
      <c r="H65" s="82">
        <f t="shared" ca="1" si="14"/>
        <v>0</v>
      </c>
      <c r="I65" s="179" t="str">
        <f ca="1">OFFSET(L!$C$1,MATCH("Checker"&amp;"Comp",L!$A:$A,0)-1,SL,,)</f>
        <v>Complete</v>
      </c>
      <c r="J65" s="22" t="str">
        <f ca="1">OFFSET(L!$C$1,MATCH("Checker"&amp;ADDRESS(ROW(),COLUMN(),4),L!$A:$A,0)-1,SL,,)</f>
        <v>Provide list of tantalum smelters contributing material to supply chain on Smelter List tab</v>
      </c>
      <c r="K65" s="186">
        <f>IF(H14+H19&gt;0,1,0)</f>
        <v>0</v>
      </c>
      <c r="L65" s="22" t="e">
        <f ca="1">OFFSET(L!$C$1,MATCH("Checker"&amp;ADDRESS(ROW(),COLUMN(),4),L!$A:$A,0)-1,SL,,)</f>
        <v>#N/A</v>
      </c>
    </row>
    <row r="66" spans="1:12" ht="39">
      <c r="A66" s="102" t="s">
        <v>1899</v>
      </c>
      <c r="B66" s="102"/>
      <c r="C66" s="102" t="str">
        <f t="shared" ca="1" si="13"/>
        <v>Complete</v>
      </c>
      <c r="D66" s="108" t="str">
        <f ca="1">IF(H66=0,"","Click here to provide smelter information")</f>
        <v/>
      </c>
      <c r="E66" s="84" t="s">
        <v>828</v>
      </c>
      <c r="F66" s="107">
        <f>F25</f>
        <v>1</v>
      </c>
      <c r="G66" s="81">
        <f ca="1">IF(AND(COUNTIF(SmelterIdetifiedForMetal,"Tin")&gt;0,COUNTIF('Smelter List'!AB$5:AB$2504,"Tin?*")&gt;0),0,1)</f>
        <v>0</v>
      </c>
      <c r="H66" s="82">
        <f t="shared" ca="1" si="14"/>
        <v>0</v>
      </c>
      <c r="I66" s="179" t="str">
        <f ca="1">OFFSET(L!$C$1,MATCH("Checker"&amp;"Comp",L!$A:$A,0)-1,SL,,)</f>
        <v>Complete</v>
      </c>
      <c r="J66" s="22" t="str">
        <f ca="1">OFFSET(L!$C$1,MATCH("Checker"&amp;ADDRESS(ROW(),COLUMN(),4),L!$A:$A,0)-1,SL,,)</f>
        <v>Provide list of tin smelters contributing material to supply chain on Smelter List tab</v>
      </c>
      <c r="K66" s="186">
        <f>IF(H15+H20&gt;0,1,0)</f>
        <v>0</v>
      </c>
      <c r="L66" s="22" t="e">
        <f ca="1">OFFSET(L!$C$1,MATCH("Checker"&amp;ADDRESS(ROW(),COLUMN(),4),L!$A:$A,0)-1,SL,,)</f>
        <v>#N/A</v>
      </c>
    </row>
    <row r="67" spans="1:12" ht="39">
      <c r="A67" s="102" t="s">
        <v>1900</v>
      </c>
      <c r="B67" s="102"/>
      <c r="C67" s="102" t="str">
        <f t="shared" ca="1" si="13"/>
        <v>Complete</v>
      </c>
      <c r="D67" s="108" t="str">
        <f ca="1">IF(H67=0,"","Click here to provide smelter information")</f>
        <v/>
      </c>
      <c r="E67" s="84" t="s">
        <v>828</v>
      </c>
      <c r="F67" s="107">
        <f>F26</f>
        <v>1</v>
      </c>
      <c r="G67" s="81">
        <f ca="1">IF(AND(COUNTIF(SmelterIdetifiedForMetal,"Gold")&gt;0,COUNTIF('Smelter List'!AB$5:AB$2504,"Gold?*")&gt;0),0,1)</f>
        <v>0</v>
      </c>
      <c r="H67" s="82">
        <f t="shared" ca="1" si="14"/>
        <v>0</v>
      </c>
      <c r="I67" s="179" t="str">
        <f ca="1">OFFSET(L!$C$1,MATCH("Checker"&amp;"Comp",L!$A:$A,0)-1,SL,,)</f>
        <v>Complete</v>
      </c>
      <c r="J67" s="22" t="str">
        <f ca="1">OFFSET(L!$C$1,MATCH("Checker"&amp;ADDRESS(ROW(),COLUMN(),4),L!$A:$A,0)-1,SL,,)</f>
        <v>Provide list of gold smelters contributing material to supply chain on Smelter List tab</v>
      </c>
      <c r="K67" s="186">
        <f>IF(H16+H21&gt;0,1,0)</f>
        <v>0</v>
      </c>
      <c r="L67" s="22" t="e">
        <f ca="1">OFFSET(L!$C$1,MATCH("Checker"&amp;ADDRESS(ROW(),COLUMN(),4),L!$A:$A,0)-1,SL,,)</f>
        <v>#N/A</v>
      </c>
    </row>
    <row r="68" spans="1:12" ht="39">
      <c r="A68" s="102" t="s">
        <v>1901</v>
      </c>
      <c r="B68" s="102"/>
      <c r="C68" s="102" t="str">
        <f t="shared" ca="1" si="13"/>
        <v>Complete</v>
      </c>
      <c r="D68" s="108" t="str">
        <f ca="1">IF(H68=0,"","Click here to provide smelter information")</f>
        <v/>
      </c>
      <c r="E68" s="84" t="s">
        <v>828</v>
      </c>
      <c r="F68" s="107">
        <f>F27</f>
        <v>1</v>
      </c>
      <c r="G68" s="81">
        <f ca="1">IF(AND(COUNTIF(SmelterIdetifiedForMetal,"Tungsten")&gt;0,COUNTIF('Smelter List'!AB$5:AB$2504,"Tungsten?*")&gt;0),0,1)</f>
        <v>0</v>
      </c>
      <c r="H68" s="82">
        <f t="shared" ca="1" si="14"/>
        <v>0</v>
      </c>
      <c r="I68" s="179" t="str">
        <f ca="1">OFFSET(L!$C$1,MATCH("Checker"&amp;"Comp",L!$A:$A,0)-1,SL,,)</f>
        <v>Complete</v>
      </c>
      <c r="J68" s="22" t="str">
        <f ca="1">OFFSET(L!$C$1,MATCH("Checker"&amp;ADDRESS(ROW(),COLUMN(),4),L!$A:$A,0)-1,SL,,)</f>
        <v>Provide list of tungsten smelters contributing material to supply chain on Smelter List tab</v>
      </c>
      <c r="K68" s="186">
        <f>IF(H17+H22&gt;0,1,0)</f>
        <v>0</v>
      </c>
      <c r="L68" s="22" t="e">
        <f ca="1">OFFSET(L!$C$1,MATCH("Checker"&amp;ADDRESS(ROW(),COLUMN(),4),L!$A:$A,0)-1,SL,,)</f>
        <v>#N/A</v>
      </c>
    </row>
    <row r="69" spans="1:12" ht="25.5">
      <c r="A69" s="195" t="s">
        <v>2482</v>
      </c>
      <c r="B69" s="102"/>
      <c r="C69" s="195" t="str">
        <f ca="1">IF(F69=0,J69,IF(G69=0,I69,L69))</f>
        <v>N/A</v>
      </c>
      <c r="D69" s="108"/>
      <c r="E69" s="84"/>
      <c r="F69" s="107">
        <f ca="1">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0</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A6" sqref="A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9" t="str">
        <f ca="1">OFFSET(L!$C$1,MATCH("Product List"&amp;ADDRESS(ROW(),COLUMN(),4),L!$A:$A,0)-1,SL,,)</f>
        <v>Completion required only if reporting level "Product (or List of Products)" selected on the 'Declaration' worksheet.</v>
      </c>
      <c r="B1" s="450"/>
      <c r="C1" s="450"/>
      <c r="D1" s="450"/>
      <c r="E1" s="145"/>
    </row>
    <row r="2" spans="1:6">
      <c r="A2" s="29"/>
      <c r="B2" s="147"/>
      <c r="C2" s="147"/>
      <c r="D2"/>
      <c r="E2" s="30"/>
    </row>
    <row r="3" spans="1:6">
      <c r="A3" s="29"/>
      <c r="B3" s="147"/>
      <c r="C3" s="147"/>
      <c r="D3" s="147"/>
      <c r="E3" s="30"/>
    </row>
    <row r="4" spans="1:6" ht="15.75" customHeight="1">
      <c r="A4" s="29"/>
      <c r="B4" s="448" t="s">
        <v>921</v>
      </c>
      <c r="C4" s="448"/>
      <c r="D4" s="448"/>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348"/>
      <c r="C6" s="111"/>
      <c r="D6" s="111"/>
      <c r="E6" s="32"/>
      <c r="F6"/>
    </row>
    <row r="7" spans="1:6" s="33" customFormat="1" ht="15.75">
      <c r="A7" s="158"/>
      <c r="B7" s="348"/>
      <c r="C7" s="111"/>
      <c r="D7" s="111"/>
      <c r="E7" s="32"/>
      <c r="F7"/>
    </row>
    <row r="8" spans="1:6" s="33" customFormat="1" ht="15.75">
      <c r="A8" s="158"/>
      <c r="B8" s="348"/>
      <c r="C8" s="111"/>
      <c r="D8" s="111"/>
      <c r="E8" s="32"/>
      <c r="F8"/>
    </row>
    <row r="9" spans="1:6" s="33" customFormat="1" ht="15.75">
      <c r="A9" s="158"/>
      <c r="B9" s="148"/>
      <c r="C9" s="111"/>
      <c r="D9" s="111"/>
      <c r="E9" s="32"/>
      <c r="F9"/>
    </row>
    <row r="10" spans="1:6" s="33" customFormat="1" ht="15.75">
      <c r="A10" s="15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51" t="str">
        <f ca="1">OFFSET(L!$C$1,MATCH("General"&amp;"Cpy",L!$A:$A,0)-1,SL,,)</f>
        <v>© 2020 Responsible Minerals Initiative. All rights reserved.</v>
      </c>
      <c r="C1001" s="451"/>
      <c r="D1001" s="451"/>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52"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52"/>
      <c r="C1" s="452"/>
      <c r="D1" s="452"/>
      <c r="E1" s="452"/>
      <c r="F1" s="452"/>
      <c r="G1" s="452"/>
    </row>
    <row r="2" spans="1:16">
      <c r="A2" s="453"/>
      <c r="B2" s="453"/>
      <c r="C2" s="453"/>
      <c r="D2" s="453"/>
      <c r="E2" s="453"/>
      <c r="F2" s="453"/>
      <c r="G2" s="453"/>
      <c r="H2" s="453"/>
      <c r="I2" s="453"/>
    </row>
    <row r="3" spans="1:16">
      <c r="A3" s="453"/>
      <c r="B3" s="453"/>
      <c r="C3" s="453"/>
      <c r="D3" s="453"/>
      <c r="E3" s="453"/>
      <c r="F3" s="453"/>
      <c r="G3" s="453"/>
      <c r="H3" s="453"/>
      <c r="I3" s="453"/>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28">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42.75">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s_x002f_No xmlns="a478cc6f-3921-4c83-83ae-8ef9039fe411">true</Yes_x002f_No>
    <Revision xmlns="a478cc6f-3921-4c83-83ae-8ef9039fe4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349D121D18A774B94528F1DA2FA66A7" ma:contentTypeVersion="13" ma:contentTypeDescription="Create a new document." ma:contentTypeScope="" ma:versionID="e9e92d25397cc7d4df930e3250eaa725">
  <xsd:schema xmlns:xsd="http://www.w3.org/2001/XMLSchema" xmlns:xs="http://www.w3.org/2001/XMLSchema" xmlns:p="http://schemas.microsoft.com/office/2006/metadata/properties" xmlns:ns1="a478cc6f-3921-4c83-83ae-8ef9039fe411" xmlns:ns3="bec2fde8-92b4-4f4c-9179-e4ba1fbf1ccd" targetNamespace="http://schemas.microsoft.com/office/2006/metadata/properties" ma:root="true" ma:fieldsID="8059227ae5fc0b8d3c378b0ed3ce86b4" ns1:_="" ns3:_="">
    <xsd:import namespace="a478cc6f-3921-4c83-83ae-8ef9039fe411"/>
    <xsd:import namespace="bec2fde8-92b4-4f4c-9179-e4ba1fbf1ccd"/>
    <xsd:element name="properties">
      <xsd:complexType>
        <xsd:sequence>
          <xsd:element name="documentManagement">
            <xsd:complexType>
              <xsd:all>
                <xsd:element ref="ns1:Revision" minOccurs="0"/>
                <xsd:element ref="ns1:Yes_x002f_No" minOccurs="0"/>
                <xsd:element ref="ns3:SharedWithUsers" minOccurs="0"/>
                <xsd:element ref="ns3:SharingHintHash" minOccurs="0"/>
                <xsd:element ref="ns1:MediaServiceMetadata" minOccurs="0"/>
                <xsd:element ref="ns1:MediaServiceFastMetadata" minOccurs="0"/>
                <xsd:element ref="ns3:SharedWithDetails" minOccurs="0"/>
                <xsd:element ref="ns1:MediaServiceAutoKeyPoints" minOccurs="0"/>
                <xsd:element ref="ns1: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78cc6f-3921-4c83-83ae-8ef9039fe411" elementFormDefault="qualified">
    <xsd:import namespace="http://schemas.microsoft.com/office/2006/documentManagement/types"/>
    <xsd:import namespace="http://schemas.microsoft.com/office/infopath/2007/PartnerControls"/>
    <xsd:element name="Revision" ma:index="0" nillable="true" ma:displayName="Revision" ma:format="Dropdown" ma:internalName="Revision" ma:readOnly="false">
      <xsd:simpleType>
        <xsd:restriction base="dms:Text">
          <xsd:maxLength value="255"/>
        </xsd:restriction>
      </xsd:simpleType>
    </xsd:element>
    <xsd:element name="Yes_x002f_No" ma:index="3" nillable="true" ma:displayName="Yes/No" ma:default="1" ma:format="Dropdown" ma:internalName="Yes_x002f_No" ma:readOnly="false">
      <xsd:simpleType>
        <xsd:restriction base="dms:Boolea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ec2fde8-92b4-4f4c-9179-e4ba1fbf1ccd"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1" nillable="true" ma:displayName="Sharing Hint Hash" ma:hidden="true" ma:internalName="SharingHintHash" ma:readOnly="true">
      <xsd:simpleType>
        <xsd:restriction base="dms:Text"/>
      </xsd:simpleType>
    </xsd:element>
    <xsd:element name="SharedWithDetails" ma:index="14"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a478cc6f-3921-4c83-83ae-8ef9039fe411"/>
  </ds:schemaRefs>
</ds:datastoreItem>
</file>

<file path=customXml/itemProps2.xml><?xml version="1.0" encoding="utf-8"?>
<ds:datastoreItem xmlns:ds="http://schemas.openxmlformats.org/officeDocument/2006/customXml" ds:itemID="{767F31F4-9241-4D22-8AFD-D3EC5D9D13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78cc6f-3921-4c83-83ae-8ef9039fe411"/>
    <ds:schemaRef ds:uri="bec2fde8-92b4-4f4c-9179-e4ba1fbf1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B78452-A4D6-436F-BBC5-7317890A5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Scot Shuford</cp:lastModifiedBy>
  <cp:lastPrinted>2015-04-21T20:47:43Z</cp:lastPrinted>
  <dcterms:created xsi:type="dcterms:W3CDTF">2010-06-21T21:00:23Z</dcterms:created>
  <dcterms:modified xsi:type="dcterms:W3CDTF">2021-08-17T13:39:06Z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0x0101007349D121D18A774B94528F1DA2FA66A7</vt:lpwstr>
  </property>
  <property fmtid="{D5CDD505-2E9C-101B-9397-08002B2CF9AE}" pid="4" name="Order">
    <vt:r8>100</vt:r8>
  </property>
</Properties>
</file>