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07049\Desktop\亞驪CMRT\"/>
    </mc:Choice>
  </mc:AlternateContent>
  <workbookProtection workbookAlgorithmName="SHA-512" workbookHashValue="FDm0YVlRHuvuR7ASQJ7z4n/c8bI9AuIKyHf8ujFWtWUkp7+Xm6/f03FyvVRZ4GAgW7GEWKWltQSnVHknWKh2BA==" workbookSaltValue="EX+GsGCD48ANiKbfOQgmtw==" workbookSpinCount="100000" lockStructure="1"/>
  <bookViews>
    <workbookView xWindow="-105" yWindow="-105" windowWidth="19425" windowHeight="10425" tabRatio="789" activeTab="3"/>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52511"/>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5" l="1"/>
  <c r="C5" i="5" l="1"/>
  <c r="C6" i="5"/>
  <c r="C7" i="5"/>
  <c r="B5" i="5"/>
  <c r="B6" i="5"/>
  <c r="B7" i="5"/>
  <c r="B8" i="5"/>
  <c r="B9" i="5"/>
  <c r="B10" i="5"/>
  <c r="B11" i="5"/>
  <c r="B12" i="5"/>
  <c r="B13" i="5"/>
  <c r="B14" i="5"/>
  <c r="B15" i="5"/>
  <c r="B16" i="5"/>
  <c r="B17" i="5"/>
  <c r="B18" i="5"/>
  <c r="C20" i="5" l="1"/>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G4" i="6"/>
  <c r="H4" i="6" s="1"/>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T76" i="5"/>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V64" i="5"/>
  <c r="R64" i="5" s="1"/>
  <c r="T64" i="5"/>
  <c r="V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V37" i="5"/>
  <c r="R37" i="5" s="1"/>
  <c r="C37" i="5"/>
  <c r="B37" i="5"/>
  <c r="T37" i="5" s="1"/>
  <c r="C36" i="5"/>
  <c r="V36" i="5" s="1"/>
  <c r="R36" i="5" s="1"/>
  <c r="B36" i="5"/>
  <c r="T36" i="5" s="1"/>
  <c r="C35" i="5"/>
  <c r="V35" i="5" s="1"/>
  <c r="B35" i="5"/>
  <c r="C34" i="5"/>
  <c r="V34" i="5" s="1"/>
  <c r="R34" i="5" s="1"/>
  <c r="B34" i="5"/>
  <c r="S34" i="5" s="1"/>
  <c r="C33" i="5"/>
  <c r="V33" i="5" s="1"/>
  <c r="R33" i="5" s="1"/>
  <c r="B33" i="5"/>
  <c r="T33" i="5" s="1"/>
  <c r="C32" i="5"/>
  <c r="V32" i="5" s="1"/>
  <c r="R32" i="5" s="1"/>
  <c r="B32" i="5"/>
  <c r="C31" i="5"/>
  <c r="V31" i="5" s="1"/>
  <c r="B31" i="5"/>
  <c r="C30" i="5"/>
  <c r="V30" i="5" s="1"/>
  <c r="I30" i="5" s="1"/>
  <c r="B30" i="5"/>
  <c r="C29" i="5"/>
  <c r="V29" i="5" s="1"/>
  <c r="H29" i="5" s="1"/>
  <c r="B29" i="5"/>
  <c r="C28" i="5"/>
  <c r="V28" i="5" s="1"/>
  <c r="E28" i="5" s="1"/>
  <c r="B28" i="5"/>
  <c r="T28" i="5" s="1"/>
  <c r="C27" i="5"/>
  <c r="V27" i="5" s="1"/>
  <c r="B27" i="5"/>
  <c r="C26" i="5"/>
  <c r="V26" i="5" s="1"/>
  <c r="I26" i="5" s="1"/>
  <c r="B26" i="5"/>
  <c r="T26" i="5" s="1"/>
  <c r="C25" i="5"/>
  <c r="V25" i="5" s="1"/>
  <c r="B25" i="5"/>
  <c r="C24" i="5"/>
  <c r="V24" i="5" s="1"/>
  <c r="R24" i="5" s="1"/>
  <c r="B24" i="5"/>
  <c r="C23" i="5"/>
  <c r="V23" i="5" s="1"/>
  <c r="H23" i="5" s="1"/>
  <c r="B23" i="5"/>
  <c r="S22" i="5"/>
  <c r="C22" i="5"/>
  <c r="V22" i="5" s="1"/>
  <c r="I22" i="5" s="1"/>
  <c r="B22" i="5"/>
  <c r="C21" i="5"/>
  <c r="V21" i="5" s="1"/>
  <c r="B21" i="5"/>
  <c r="V20" i="5"/>
  <c r="R20" i="5" s="1"/>
  <c r="B20" i="5"/>
  <c r="T20" i="5" s="1"/>
  <c r="C19" i="5"/>
  <c r="V19" i="5" s="1"/>
  <c r="B19" i="5"/>
  <c r="T19" i="5" s="1"/>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T44" i="5" l="1"/>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28"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E26" i="5"/>
  <c r="X26" i="5" s="1"/>
  <c r="I59" i="5"/>
  <c r="X63" i="5"/>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S40" i="5"/>
  <c r="G55" i="5"/>
  <c r="G58" i="5"/>
  <c r="J59"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S26" i="5"/>
  <c r="R59"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S20" i="5"/>
  <c r="G48" i="5"/>
  <c r="G74" i="5"/>
  <c r="G86" i="5"/>
  <c r="J107" i="5"/>
  <c r="S178" i="5"/>
  <c r="AB178" i="5"/>
  <c r="T178" i="5"/>
  <c r="V215" i="5"/>
  <c r="G215" i="5" s="1"/>
  <c r="R299" i="5"/>
  <c r="J299" i="5"/>
  <c r="T312" i="5"/>
  <c r="S312" i="5"/>
  <c r="T379" i="5"/>
  <c r="S379" i="5"/>
  <c r="E392" i="5"/>
  <c r="X392" i="5" s="1"/>
  <c r="I392" i="5"/>
  <c r="H392" i="5"/>
  <c r="E62" i="5"/>
  <c r="X62" i="5" s="1"/>
  <c r="S110" i="5"/>
  <c r="AB110" i="5"/>
  <c r="R3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X249" i="5" s="1"/>
  <c r="F249" i="5"/>
  <c r="J29" i="5"/>
  <c r="I37" i="5"/>
  <c r="R3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34" i="5"/>
  <c r="X34" i="5" s="1"/>
  <c r="G36" i="5"/>
  <c r="R42" i="5"/>
  <c r="H46" i="5"/>
  <c r="H62" i="5"/>
  <c r="G35" i="5"/>
  <c r="E45" i="5"/>
  <c r="X45" i="5" s="1"/>
  <c r="J47" i="5"/>
  <c r="G50" i="5"/>
  <c r="G51" i="5"/>
  <c r="S52" i="5"/>
  <c r="E55" i="5"/>
  <c r="X55" i="5" s="1"/>
  <c r="I62"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23" i="5"/>
  <c r="X23" i="5" s="1"/>
  <c r="G24" i="5"/>
  <c r="J25" i="5"/>
  <c r="AB26" i="5"/>
  <c r="G31" i="5"/>
  <c r="G34" i="5"/>
  <c r="S36" i="5"/>
  <c r="E39" i="5"/>
  <c r="X39" i="5" s="1"/>
  <c r="I46" i="5"/>
  <c r="AB22" i="5"/>
  <c r="F23" i="5"/>
  <c r="I24" i="5"/>
  <c r="R25" i="5"/>
  <c r="G30" i="5"/>
  <c r="H34"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S72" i="5"/>
  <c r="E81" i="5"/>
  <c r="X81" i="5" s="1"/>
  <c r="I82" i="5"/>
  <c r="S88" i="5"/>
  <c r="G22" i="5"/>
  <c r="I23" i="5"/>
  <c r="S30" i="5"/>
  <c r="I33" i="5"/>
  <c r="I39"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S18" i="5" s="1"/>
  <c r="G6" i="5"/>
  <c r="J5" i="5"/>
  <c r="F19" i="6"/>
  <c r="X341" i="5"/>
  <c r="X304" i="5"/>
  <c r="AB23" i="5"/>
  <c r="S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H6"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I6" i="5"/>
  <c r="F18" i="5"/>
  <c r="J18" i="5"/>
  <c r="T18" i="5" s="1"/>
  <c r="G20" i="5"/>
  <c r="S21" i="5"/>
  <c r="AB21" i="5"/>
  <c r="T21" i="5"/>
  <c r="S24" i="5"/>
  <c r="F26" i="5"/>
  <c r="J26" i="5"/>
  <c r="G28" i="5"/>
  <c r="S29" i="5"/>
  <c r="AB29" i="5"/>
  <c r="T29" i="5"/>
  <c r="S32" i="5"/>
  <c r="G33" i="5"/>
  <c r="AB35" i="5"/>
  <c r="S35" i="5"/>
  <c r="T35" i="5"/>
  <c r="G37" i="5"/>
  <c r="AB39" i="5"/>
  <c r="S39" i="5"/>
  <c r="T39" i="5"/>
  <c r="G41" i="5"/>
  <c r="AB43" i="5"/>
  <c r="S43" i="5"/>
  <c r="T43" i="5"/>
  <c r="G45" i="5"/>
  <c r="AB47" i="5"/>
  <c r="S47" i="5"/>
  <c r="T47" i="5"/>
  <c r="G49" i="5"/>
  <c r="AB51" i="5"/>
  <c r="S51" i="5"/>
  <c r="T51" i="5"/>
  <c r="G53" i="5"/>
  <c r="AB55" i="5"/>
  <c r="S55" i="5"/>
  <c r="T55" i="5"/>
  <c r="G57" i="5"/>
  <c r="AB59" i="5"/>
  <c r="S59" i="5"/>
  <c r="T59" i="5"/>
  <c r="G61" i="5"/>
  <c r="AB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23" i="5"/>
  <c r="T32"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T24" i="5"/>
  <c r="H28" i="5"/>
  <c r="S109" i="5"/>
  <c r="AB109" i="5"/>
  <c r="E117" i="5"/>
  <c r="X117" i="5" s="1"/>
  <c r="J121" i="5"/>
  <c r="I121" i="5"/>
  <c r="H121" i="5"/>
  <c r="S141" i="5"/>
  <c r="AB141" i="5"/>
  <c r="H146" i="5"/>
  <c r="F150" i="5"/>
  <c r="R150" i="5"/>
  <c r="J150" i="5"/>
  <c r="AB19" i="5"/>
  <c r="S19" i="5"/>
  <c r="E21" i="5"/>
  <c r="X21" i="5" s="1"/>
  <c r="AB27" i="5"/>
  <c r="S27" i="5"/>
  <c r="T27" i="5"/>
  <c r="E29" i="5"/>
  <c r="X29" i="5" s="1"/>
  <c r="F5" i="5"/>
  <c r="H18" i="5"/>
  <c r="F21" i="5"/>
  <c r="T22" i="5"/>
  <c r="E24" i="5"/>
  <c r="X24" i="5" s="1"/>
  <c r="H26" i="5"/>
  <c r="R28" i="5"/>
  <c r="F29" i="5"/>
  <c r="T30" i="5"/>
  <c r="E32" i="5"/>
  <c r="X32" i="5" s="1"/>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20" i="5"/>
  <c r="F20" i="5"/>
  <c r="AB31" i="5"/>
  <c r="S31" i="5"/>
  <c r="G5" i="5"/>
  <c r="F22" i="5"/>
  <c r="J22" i="5"/>
  <c r="S25" i="5"/>
  <c r="AB25" i="5"/>
  <c r="T25" i="5"/>
  <c r="G29" i="5"/>
  <c r="J33" i="5"/>
  <c r="H33" i="5"/>
  <c r="S37" i="5"/>
  <c r="AB37" i="5"/>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T31" i="5"/>
  <c r="F6" i="5"/>
  <c r="J6" i="5"/>
  <c r="G21" i="5"/>
  <c r="F30" i="5"/>
  <c r="J30" i="5"/>
  <c r="S33" i="5"/>
  <c r="AB33" i="5"/>
  <c r="J36" i="5"/>
  <c r="H36" i="5"/>
  <c r="F36" i="5"/>
  <c r="J37" i="5"/>
  <c r="H37" i="5"/>
  <c r="S41" i="5"/>
  <c r="AB41" i="5"/>
  <c r="J44" i="5"/>
  <c r="H44" i="5"/>
  <c r="F44" i="5"/>
  <c r="J45" i="5"/>
  <c r="H45" i="5"/>
  <c r="S49" i="5"/>
  <c r="AB49" i="5"/>
  <c r="J52" i="5"/>
  <c r="H52" i="5"/>
  <c r="F52" i="5"/>
  <c r="J56" i="5"/>
  <c r="H56" i="5"/>
  <c r="F56" i="5"/>
  <c r="J60" i="5"/>
  <c r="H60" i="5"/>
  <c r="F60" i="5"/>
  <c r="J61" i="5"/>
  <c r="H61"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I5" i="5"/>
  <c r="E6" i="5"/>
  <c r="R18" i="5"/>
  <c r="F19" i="5"/>
  <c r="I21" i="5"/>
  <c r="E22" i="5"/>
  <c r="X22" i="5" s="1"/>
  <c r="R23" i="5"/>
  <c r="H24" i="5"/>
  <c r="R26" i="5"/>
  <c r="F27" i="5"/>
  <c r="I29" i="5"/>
  <c r="E30" i="5"/>
  <c r="X30" i="5" s="1"/>
  <c r="R31" i="5"/>
  <c r="H32" i="5"/>
  <c r="T34" i="5"/>
  <c r="E36" i="5"/>
  <c r="X36" i="5" s="1"/>
  <c r="T38" i="5"/>
  <c r="E40" i="5"/>
  <c r="X40" i="5" s="1"/>
  <c r="T42" i="5"/>
  <c r="E44" i="5"/>
  <c r="X44" i="5" s="1"/>
  <c r="T46" i="5"/>
  <c r="E48" i="5"/>
  <c r="X48" i="5" s="1"/>
  <c r="T50" i="5"/>
  <c r="E52" i="5"/>
  <c r="X52" i="5" s="1"/>
  <c r="T54" i="5"/>
  <c r="E56" i="5"/>
  <c r="X56" i="5" s="1"/>
  <c r="T58" i="5"/>
  <c r="E60" i="5"/>
  <c r="X60" i="5" s="1"/>
  <c r="T62" i="5"/>
  <c r="X64" i="5"/>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X424"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6" i="5"/>
  <c r="T5" i="5"/>
  <c r="T63" i="5"/>
  <c r="S64" i="5"/>
  <c r="S63" i="5"/>
  <c r="B32" i="6" l="1"/>
  <c r="C9" i="6"/>
  <c r="C12" i="6"/>
  <c r="C8" i="6"/>
  <c r="C10" i="6"/>
  <c r="C11" i="6"/>
  <c r="C7"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X18" i="5"/>
  <c r="B52" i="6"/>
  <c r="G52" i="6" s="1"/>
  <c r="B37" i="6"/>
  <c r="G37" i="6" s="1"/>
  <c r="B42" i="6"/>
  <c r="G42" i="6" s="1"/>
  <c r="B40" i="6"/>
  <c r="G40" i="6" s="1"/>
  <c r="B50" i="6"/>
  <c r="G50" i="6" s="1"/>
  <c r="B25" i="6"/>
  <c r="G25" i="6" s="1"/>
  <c r="B35" i="6"/>
  <c r="G35" i="6" s="1"/>
  <c r="C15" i="5"/>
  <c r="C8" i="5"/>
  <c r="C9" i="5"/>
  <c r="C10" i="5"/>
  <c r="C11" i="5"/>
  <c r="C14" i="5"/>
  <c r="C12" i="5"/>
  <c r="C13" i="5"/>
  <c r="C17" i="5"/>
  <c r="C16" i="5"/>
  <c r="X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6" i="5"/>
  <c r="S5" i="5"/>
  <c r="H45" i="6" l="1"/>
  <c r="D45" i="6" s="1"/>
  <c r="H46" i="6"/>
  <c r="D46" i="6" s="1"/>
  <c r="H31" i="6"/>
  <c r="C31" i="6" s="1"/>
  <c r="C29" i="6"/>
  <c r="D29" i="6"/>
  <c r="H30" i="6"/>
  <c r="G68" i="6"/>
  <c r="H68" i="6" s="1"/>
  <c r="D68" i="6" s="1"/>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C45" i="6" l="1"/>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10" i="5"/>
  <c r="T12" i="5"/>
  <c r="T9" i="5"/>
  <c r="T17" i="5"/>
  <c r="T16" i="5"/>
  <c r="T14" i="5"/>
  <c r="T8" i="5"/>
  <c r="T15" i="5"/>
  <c r="T13" i="5"/>
  <c r="T11" i="5"/>
  <c r="T7" i="5"/>
  <c r="X13" i="5" l="1"/>
  <c r="X10" i="5"/>
  <c r="D65" i="6"/>
  <c r="X9" i="5"/>
  <c r="X12" i="5"/>
  <c r="X14" i="5"/>
  <c r="X17" i="5"/>
  <c r="S17" i="5"/>
  <c r="D66" i="6"/>
  <c r="C67" i="6"/>
  <c r="X11" i="5"/>
  <c r="X15" i="5"/>
  <c r="X8" i="5"/>
  <c r="X7" i="5"/>
  <c r="G69" i="6"/>
  <c r="H69" i="6" s="1"/>
  <c r="H70" i="6" s="1"/>
  <c r="D2" i="6" s="1"/>
  <c r="X16" i="5"/>
  <c r="S16" i="5"/>
  <c r="D55" i="6"/>
  <c r="C55" i="6"/>
  <c r="D56" i="6"/>
  <c r="C56" i="6"/>
  <c r="S11" i="5"/>
  <c r="S13" i="5"/>
  <c r="S8" i="5"/>
  <c r="S9" i="5"/>
  <c r="S7" i="5"/>
  <c r="S14" i="5"/>
  <c r="S10" i="5"/>
  <c r="S12" i="5"/>
  <c r="S15" i="5"/>
</calcChain>
</file>

<file path=xl/comments1.xml><?xml version="1.0" encoding="utf-8"?>
<comments xmlns="http://schemas.openxmlformats.org/spreadsheetml/2006/main">
  <authors>
    <author>a64a</author>
  </authors>
  <commentList>
    <comment ref="P3" authorId="0" shapeId="0">
      <text>
        <r>
          <rPr>
            <sz val="9"/>
            <rFont val="ＭＳ Ｐゴシック"/>
            <family val="3"/>
            <charset val="128"/>
          </rPr>
          <t>location number in language list</t>
        </r>
      </text>
    </comment>
    <comment ref="P9" authorId="0" shapeId="0">
      <text>
        <r>
          <rPr>
            <sz val="9"/>
            <rFont val="ＭＳ Ｐゴシック"/>
            <family val="3"/>
            <charset val="128"/>
          </rPr>
          <t>list for Validation in D9</t>
        </r>
      </text>
    </comment>
    <comment ref="P26" authorId="0" shapeId="0">
      <text>
        <r>
          <rPr>
            <sz val="9"/>
            <rFont val="ＭＳ Ｐゴシック"/>
            <family val="3"/>
            <charset val="128"/>
          </rPr>
          <t>condition for answer Q3 and later</t>
        </r>
      </text>
    </comment>
    <comment ref="Q31" authorId="0" shapeId="0">
      <text>
        <r>
          <rPr>
            <sz val="9"/>
            <rFont val="ＭＳ Ｐゴシック"/>
            <family val="3"/>
            <charset val="128"/>
          </rPr>
          <t>condition for answer</t>
        </r>
      </text>
    </comment>
    <comment ref="P32" authorId="0" shapeId="0">
      <text>
        <r>
          <rPr>
            <sz val="9"/>
            <rFont val="ＭＳ Ｐゴシック"/>
            <family val="3"/>
            <charset val="128"/>
          </rPr>
          <t>condition for answer Q3 and later</t>
        </r>
      </text>
    </comment>
    <comment ref="Q37" authorId="0" shapeId="0">
      <text>
        <r>
          <rPr>
            <sz val="9"/>
            <rFont val="ＭＳ Ｐゴシック"/>
            <family val="3"/>
            <charset val="128"/>
          </rPr>
          <t>condition for answer</t>
        </r>
      </text>
    </comment>
    <comment ref="Q43" authorId="0" shapeId="0">
      <text>
        <r>
          <rPr>
            <sz val="9"/>
            <rFont val="ＭＳ Ｐゴシック"/>
            <family val="3"/>
            <charset val="128"/>
          </rPr>
          <t>condition for answer</t>
        </r>
      </text>
    </comment>
  </commentList>
</comments>
</file>

<file path=xl/comments2.xml><?xml version="1.0" encoding="utf-8"?>
<comments xmlns="http://schemas.openxmlformats.org/spreadsheetml/2006/main">
  <authors>
    <author>a64a</author>
  </authors>
  <commentList>
    <comment ref="W3" authorId="0" shapeId="0">
      <text>
        <r>
          <rPr>
            <sz val="9"/>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8" authorId="0" shapeId="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4" authorId="0" shapeId="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<sst xmlns="http://schemas.openxmlformats.org/spreadsheetml/2006/main" count="21834" uniqueCount="15524">
  <si>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</si>
  <si>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</si>
  <si>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</si>
  <si>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</si>
  <si>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</si>
  <si>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</si>
  <si>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</si>
  <si>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</si>
  <si>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</si>
  <si>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</si>
  <si>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</si>
  <si>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</si>
  <si>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</si>
  <si>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</si>
  <si>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</si>
  <si>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</si>
  <si>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</si>
  <si>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</si>
  <si>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</si>
  <si>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</si>
  <si>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</si>
  <si>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</si>
  <si>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</si>
  <si>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</si>
  <si>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</si>
  <si>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</si>
  <si>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</si>
  <si>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</si>
  <si>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</si>
  <si>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</si>
  <si>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</si>
  <si>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</si>
  <si>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</si>
  <si>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</si>
  <si>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</si>
  <si>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</si>
  <si>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</si>
  <si>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</si>
  <si>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</si>
  <si>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</si>
  <si>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</si>
  <si>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</si>
  <si>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</si>
  <si>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</si>
  <si>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</si>
  <si>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</si>
  <si>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</si>
  <si>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</si>
  <si>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</si>
  <si>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</si>
  <si>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</si>
  <si>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</si>
  <si>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</si>
  <si>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</si>
  <si>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</si>
  <si>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</si>
  <si>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</si>
  <si>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</si>
  <si>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</si>
  <si>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</si>
  <si>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</si>
  <si>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</si>
  <si>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</si>
  <si>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</si>
  <si>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</si>
  <si>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</si>
  <si>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</si>
  <si>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</si>
  <si>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</si>
  <si>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</si>
  <si>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</si>
  <si>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</si>
  <si>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</si>
  <si>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</si>
  <si>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</si>
  <si>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</si>
  <si>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</si>
  <si>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</si>
  <si>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</si>
  <si>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</si>
  <si>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</si>
  <si>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</si>
  <si>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</si>
  <si>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</si>
  <si>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</si>
  <si>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</si>
  <si>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</si>
  <si>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</si>
  <si>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</si>
  <si>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</si>
  <si>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</si>
  <si>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</si>
  <si>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</si>
  <si>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</si>
  <si>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</si>
  <si>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</si>
  <si>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</si>
  <si>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</si>
  <si>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</si>
  <si>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</si>
  <si>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</si>
  <si>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</si>
  <si>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</si>
  <si>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</si>
  <si>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</si>
  <si>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</si>
  <si>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</si>
  <si>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</si>
  <si>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</si>
  <si>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</si>
  <si>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</si>
  <si>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</si>
  <si>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</si>
  <si>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</si>
  <si>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</si>
  <si>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</si>
  <si>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</si>
  <si>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</si>
  <si>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</si>
  <si>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</si>
  <si>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</si>
  <si>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</si>
  <si>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</si>
  <si>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</si>
  <si>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</si>
  <si>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</si>
  <si>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</si>
  <si>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</si>
  <si>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</si>
  <si>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</si>
  <si>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</si>
  <si>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</si>
  <si>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</si>
  <si>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</si>
  <si>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</si>
  <si>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</si>
  <si>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</si>
  <si>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</si>
  <si>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</si>
  <si>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</si>
  <si>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</si>
  <si>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</si>
  <si>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</si>
  <si>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</si>
  <si>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</si>
  <si>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</si>
  <si>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</si>
  <si>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</si>
  <si>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</si>
  <si>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</si>
  <si>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</si>
  <si>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</si>
  <si>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</si>
  <si>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</si>
  <si>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</si>
  <si>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</si>
  <si>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</si>
  <si>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</si>
  <si>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</si>
  <si>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</si>
  <si>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</si>
  <si>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</si>
  <si>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</si>
  <si>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</si>
  <si>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</si>
  <si>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</si>
  <si>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</si>
  <si>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</si>
  <si>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</si>
  <si>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</si>
  <si>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</si>
  <si>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</si>
  <si>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</si>
  <si>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</si>
  <si>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</si>
  <si>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</si>
  <si>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</si>
  <si>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</si>
  <si>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</si>
  <si>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</si>
  <si>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</si>
  <si>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</si>
  <si>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</si>
  <si>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</si>
  <si>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</si>
  <si>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</si>
  <si>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</si>
  <si>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</si>
  <si>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</si>
  <si>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</si>
  <si>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</si>
  <si>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</si>
  <si>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</si>
  <si>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</si>
  <si>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</si>
  <si>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</si>
  <si>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</si>
  <si>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</si>
  <si>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</si>
  <si>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</si>
  <si>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</si>
  <si>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</si>
  <si>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</si>
  <si>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</si>
  <si>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</si>
  <si>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</si>
  <si>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</si>
  <si>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</si>
  <si>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</si>
  <si>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</si>
  <si>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</si>
  <si>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</si>
  <si>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</si>
  <si>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</si>
  <si>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</si>
  <si>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</si>
  <si>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</si>
  <si>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</si>
  <si>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</si>
  <si>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</si>
  <si>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</si>
  <si>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</si>
  <si>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</si>
  <si>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</si>
  <si>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</si>
  <si>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</si>
  <si>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</si>
  <si>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</si>
  <si>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</si>
  <si>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</si>
  <si>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</si>
  <si>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</si>
  <si>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</si>
  <si>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</si>
  <si>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</si>
  <si>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</si>
  <si>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</si>
  <si>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</si>
  <si>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</si>
  <si>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</si>
  <si>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</si>
  <si>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</si>
  <si>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</si>
  <si>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</si>
  <si>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</si>
  <si>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</si>
  <si>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</si>
  <si>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</si>
  <si>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</si>
  <si>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</si>
  <si>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</si>
  <si>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</si>
  <si>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</si>
  <si>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</si>
  <si>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</si>
  <si>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</si>
  <si>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</si>
  <si>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</si>
  <si>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</si>
  <si>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</si>
  <si>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</si>
  <si>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</si>
  <si>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</si>
  <si>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</si>
  <si>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</si>
  <si>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</si>
  <si>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</si>
  <si>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</si>
  <si>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</si>
  <si>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</si>
  <si>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</si>
  <si>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</si>
  <si>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</si>
  <si>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</si>
  <si>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</si>
  <si>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</si>
  <si>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</si>
  <si>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</si>
  <si>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</si>
  <si>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</si>
  <si>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</si>
  <si>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</si>
  <si>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</si>
  <si>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</si>
  <si>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</si>
  <si>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</si>
  <si>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</si>
  <si>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</si>
  <si>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</si>
  <si>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</si>
  <si>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</si>
  <si>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</si>
  <si>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</si>
  <si>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</si>
  <si>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</si>
  <si>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</si>
  <si>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</si>
  <si>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</si>
  <si>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</si>
  <si>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</si>
  <si>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</si>
  <si>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</si>
  <si>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</si>
  <si>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</si>
  <si>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</si>
  <si>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</si>
  <si>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</si>
  <si>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</si>
  <si>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</si>
  <si>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</si>
  <si>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</si>
  <si>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</si>
  <si>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</si>
  <si>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</si>
  <si>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</si>
  <si>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</si>
  <si>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</si>
  <si>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</si>
  <si>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</si>
  <si>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</si>
  <si>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</si>
  <si>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</si>
  <si>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</si>
  <si>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</si>
  <si>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</si>
  <si>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</si>
  <si>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</si>
  <si>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</si>
  <si>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</si>
  <si>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</si>
  <si>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</si>
  <si>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</si>
  <si>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</si>
  <si>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</si>
  <si>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</si>
  <si>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</si>
  <si>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</si>
  <si>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</si>
  <si>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</si>
  <si>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</si>
  <si>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</si>
  <si>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</si>
  <si>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</si>
  <si>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</si>
  <si>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</si>
  <si>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</si>
  <si>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</si>
  <si>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</si>
  <si>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</si>
  <si>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</si>
  <si>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</si>
  <si>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</si>
  <si>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</si>
  <si>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</si>
  <si>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</si>
  <si>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</si>
  <si>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</si>
  <si>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</si>
  <si>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</si>
  <si>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</si>
  <si>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</si>
  <si>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</si>
  <si>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</si>
  <si>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</si>
  <si>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</si>
  <si>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</si>
  <si>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</si>
  <si>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</si>
  <si>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</si>
  <si>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</si>
  <si>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</si>
  <si>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</si>
  <si>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</si>
  <si>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</si>
  <si>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</si>
  <si>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</si>
  <si>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</si>
  <si>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</si>
  <si>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</si>
  <si>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</si>
  <si>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</si>
  <si>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</si>
  <si>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</si>
  <si>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</si>
  <si>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</si>
  <si>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</si>
  <si>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</si>
  <si>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</si>
  <si>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</si>
  <si>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</si>
  <si>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</si>
  <si>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</si>
  <si>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</si>
  <si>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</si>
  <si>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</si>
  <si>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</si>
  <si>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</si>
  <si>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</si>
  <si>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</si>
  <si>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</si>
  <si>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</si>
  <si>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</si>
  <si>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</si>
  <si>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</si>
  <si>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</si>
  <si>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</si>
  <si>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</si>
  <si>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</si>
  <si>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</si>
  <si>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</si>
  <si>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</si>
  <si>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</si>
  <si>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</si>
  <si>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</si>
  <si>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</si>
  <si>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</si>
  <si>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</si>
  <si>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</si>
  <si>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</si>
  <si>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</si>
  <si>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</si>
  <si>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</si>
  <si>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</si>
  <si>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</si>
  <si>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</si>
  <si>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</si>
  <si>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</si>
  <si>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</si>
  <si>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</si>
  <si>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</si>
  <si>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</si>
  <si>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</si>
  <si>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</si>
  <si>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</si>
  <si>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</si>
  <si>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</si>
  <si>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</si>
  <si>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</si>
  <si>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</si>
  <si>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</si>
  <si>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</si>
  <si>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</si>
  <si>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</si>
  <si>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</si>
  <si>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</si>
  <si>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</si>
  <si>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</si>
  <si>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</si>
  <si>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</si>
  <si>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</si>
  <si>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</si>
  <si>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</si>
  <si>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</si>
  <si>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</si>
  <si>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</si>
  <si>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</si>
  <si>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</si>
  <si>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</si>
  <si>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</si>
  <si>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</si>
  <si>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</si>
  <si>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</si>
  <si>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</si>
  <si>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</si>
  <si>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</si>
  <si>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</si>
  <si>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</si>
  <si>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</si>
  <si>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</si>
  <si>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</si>
  <si>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</si>
  <si>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</si>
  <si>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</si>
  <si>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</si>
  <si>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</si>
  <si>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</si>
  <si>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</si>
  <si>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</si>
  <si>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</si>
  <si>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</si>
  <si>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</si>
  <si>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</si>
  <si>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</si>
  <si>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</si>
  <si>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</si>
  <si>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</si>
  <si>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</si>
  <si>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</si>
  <si>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</si>
  <si>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</si>
  <si>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</si>
  <si>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</si>
  <si>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</si>
  <si>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</si>
  <si>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</si>
  <si>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</si>
  <si>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</si>
  <si>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</si>
  <si>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</si>
  <si>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</si>
  <si>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</si>
  <si>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</si>
  <si>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</si>
  <si>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</si>
  <si>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</si>
  <si>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</si>
  <si>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</si>
  <si>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</si>
  <si>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</si>
  <si>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</si>
  <si>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</si>
  <si>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</si>
  <si>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</si>
  <si>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</si>
  <si>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</si>
  <si>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</si>
  <si>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</si>
  <si>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</si>
  <si>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</si>
  <si>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</si>
  <si>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</si>
  <si>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</si>
  <si>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</si>
  <si>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</si>
  <si>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</si>
  <si>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</si>
  <si>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</si>
  <si>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</si>
  <si>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</si>
  <si>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</si>
  <si>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</si>
  <si>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</si>
  <si>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</si>
  <si>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</si>
  <si>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</si>
  <si>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</si>
  <si>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</si>
  <si>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</si>
  <si>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</si>
  <si>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</si>
  <si>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</si>
  <si>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</si>
  <si>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</si>
  <si>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</si>
  <si>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</si>
  <si>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</si>
  <si>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</si>
  <si>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</si>
  <si>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</si>
  <si>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</si>
  <si>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</si>
  <si>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</si>
  <si>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</si>
  <si>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</si>
  <si>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</si>
  <si>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</si>
  <si>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</si>
  <si>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</si>
  <si>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</si>
  <si>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</si>
  <si>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</si>
  <si>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</si>
  <si>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</si>
  <si>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</si>
  <si>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</si>
  <si>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</si>
  <si>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</si>
  <si>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</si>
  <si>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</si>
  <si>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</si>
  <si>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</si>
  <si>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</si>
  <si>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</si>
  <si>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</si>
  <si>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</si>
  <si>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</si>
  <si>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</si>
  <si>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</si>
  <si>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</si>
  <si>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</si>
  <si>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</si>
  <si>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</si>
  <si>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</si>
  <si>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</si>
  <si>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</si>
  <si>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</si>
  <si>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</si>
  <si>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</si>
  <si>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</si>
  <si>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</si>
  <si>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</si>
  <si>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</si>
  <si>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</si>
  <si>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</si>
  <si>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</si>
  <si>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</si>
  <si>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</si>
  <si>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</si>
  <si>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</si>
  <si>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</si>
  <si>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</si>
  <si>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</si>
  <si>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</si>
  <si>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</si>
  <si>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</si>
  <si>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</si>
  <si>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</si>
  <si>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</si>
  <si>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</si>
  <si>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</si>
  <si>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</si>
  <si>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</si>
  <si>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</si>
  <si>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</si>
  <si>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</si>
  <si>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</si>
  <si>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</si>
  <si>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</si>
  <si>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</si>
  <si>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</si>
  <si>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</si>
  <si>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</si>
  <si>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</si>
  <si>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</si>
  <si>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</si>
  <si>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</si>
  <si>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</si>
  <si>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</si>
  <si>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</si>
  <si>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</si>
  <si>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</si>
  <si>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</si>
  <si>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</si>
  <si>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</si>
  <si>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</si>
  <si>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</si>
  <si>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</si>
  <si>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</si>
  <si>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</si>
  <si>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</si>
  <si>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</si>
  <si>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</si>
  <si>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</si>
  <si>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</si>
  <si>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</si>
  <si>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</si>
  <si>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</si>
  <si>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</si>
  <si>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</si>
  <si>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</si>
  <si>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</si>
  <si>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</si>
  <si>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</si>
  <si>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</si>
  <si>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</si>
  <si>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</si>
  <si>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</si>
  <si>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</si>
  <si>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</si>
  <si>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</si>
  <si>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</si>
  <si>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</si>
  <si>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</si>
  <si>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</si>
  <si>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</si>
  <si>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</si>
  <si>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</si>
  <si>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</si>
  <si>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</si>
  <si>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</si>
  <si>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</si>
  <si>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</si>
  <si>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</si>
  <si>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</si>
  <si>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</si>
  <si>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</si>
  <si>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</si>
  <si>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</si>
  <si>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</si>
  <si>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</si>
  <si>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</si>
  <si>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</si>
  <si>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</si>
  <si>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</si>
  <si>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</si>
  <si>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</si>
  <si>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</si>
  <si>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</si>
  <si>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</si>
  <si>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</si>
  <si>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</si>
  <si>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</si>
  <si>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</si>
  <si>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</si>
  <si>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</si>
  <si>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</si>
  <si>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</si>
  <si>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</si>
  <si>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</si>
  <si>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</si>
  <si>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</si>
  <si>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</si>
  <si>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</si>
  <si>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</si>
  <si>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</si>
  <si>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</si>
  <si>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</si>
  <si>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</si>
  <si>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</si>
  <si>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</si>
  <si>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</si>
  <si>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</si>
  <si>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</si>
  <si>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</si>
  <si>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</si>
  <si>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</si>
  <si>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</si>
  <si>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</si>
  <si>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</si>
  <si>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</si>
  <si>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</si>
  <si>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</si>
  <si>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</si>
  <si>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</si>
  <si>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</si>
  <si>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</si>
  <si>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</si>
  <si>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</si>
  <si>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</si>
  <si>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</si>
  <si>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</si>
  <si>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</si>
  <si>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</si>
  <si>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</si>
  <si>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</si>
  <si>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</si>
  <si>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</si>
  <si>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</si>
  <si>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</si>
  <si>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</si>
  <si>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</si>
  <si>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</si>
  <si>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</si>
  <si>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</si>
  <si>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</si>
  <si>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</si>
  <si>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</si>
  <si>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</si>
  <si>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</si>
  <si>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</si>
  <si>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</si>
  <si>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</si>
  <si>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</si>
  <si>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</si>
  <si>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</si>
  <si>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</si>
  <si>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</si>
  <si>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</si>
  <si>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</si>
  <si>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</si>
  <si>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</si>
  <si>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</si>
  <si>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</si>
  <si>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</si>
  <si>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</si>
  <si>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</si>
  <si>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</si>
  <si>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</si>
  <si>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</si>
  <si>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</si>
  <si>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</si>
  <si>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</si>
  <si>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</si>
  <si>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</si>
  <si>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</si>
  <si>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</si>
  <si>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</si>
  <si>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</si>
  <si>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</si>
  <si>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</si>
  <si>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</si>
  <si>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</si>
  <si>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</si>
  <si>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</si>
  <si>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</si>
  <si>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</si>
  <si>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</si>
  <si>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</si>
  <si>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</si>
  <si>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</si>
  <si>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</si>
  <si>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</si>
  <si>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</si>
  <si>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</si>
  <si>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</si>
  <si>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</si>
  <si>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</si>
  <si>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</si>
  <si>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</si>
  <si>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</si>
  <si>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</si>
  <si>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</si>
  <si>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</si>
  <si>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</si>
  <si>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</si>
  <si>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</si>
  <si>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</si>
  <si>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</si>
  <si>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</si>
  <si>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</si>
  <si>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</si>
  <si>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</si>
  <si>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</si>
  <si>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</si>
  <si>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</si>
  <si>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</si>
  <si>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</si>
  <si>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</si>
  <si>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</si>
  <si>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</si>
  <si>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</si>
  <si>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</si>
  <si>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</si>
  <si>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</si>
  <si>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</si>
  <si>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</si>
  <si>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</si>
  <si>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</si>
  <si>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</si>
  <si>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</si>
  <si>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</si>
  <si>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</si>
  <si>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</si>
  <si>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</si>
  <si>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</si>
  <si>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</si>
  <si>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</si>
  <si>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</si>
  <si>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</si>
  <si>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</si>
  <si>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</si>
  <si>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</si>
  <si>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</si>
  <si>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</si>
  <si>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</si>
  <si>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</si>
  <si>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</si>
  <si>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</si>
  <si>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</si>
  <si>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</si>
  <si>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</si>
  <si>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</si>
  <si>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</si>
  <si>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</si>
  <si>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</si>
  <si>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</si>
  <si>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</si>
  <si>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</si>
  <si>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</si>
  <si>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</si>
  <si>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</si>
  <si>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</si>
  <si>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</si>
  <si>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</si>
  <si>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</si>
  <si>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</si>
  <si>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</si>
  <si>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</si>
  <si>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</si>
  <si>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</si>
  <si>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</si>
  <si>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</si>
  <si>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</si>
  <si>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</si>
  <si>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</si>
  <si>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</si>
  <si>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</si>
  <si>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</si>
  <si>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</si>
  <si>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</si>
  <si>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</si>
  <si>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</si>
  <si>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</si>
  <si>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</si>
  <si>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</si>
  <si>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</si>
  <si>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</si>
  <si>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</si>
  <si>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</si>
  <si>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</si>
  <si>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</si>
  <si>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</si>
  <si>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</si>
  <si>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</si>
  <si>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</si>
  <si>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</si>
  <si>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</si>
  <si>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</si>
  <si>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</si>
  <si>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</si>
  <si>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</si>
  <si>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</si>
  <si>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</si>
  <si>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</si>
  <si>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</si>
  <si>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</si>
  <si>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</si>
  <si>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</si>
  <si>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</si>
  <si>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</si>
  <si>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</si>
  <si>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</si>
  <si>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</si>
  <si>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</si>
  <si>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</si>
  <si>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</si>
  <si>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</si>
  <si>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</si>
  <si>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</si>
  <si>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</si>
  <si>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</si>
  <si>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</si>
  <si>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</si>
  <si>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</si>
  <si>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</si>
  <si>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</si>
  <si>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</si>
  <si>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</si>
  <si>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</si>
  <si>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</si>
  <si>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</si>
  <si>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</si>
  <si>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</si>
  <si>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</si>
  <si>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</si>
  <si>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</si>
  <si>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</si>
  <si>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</si>
  <si>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</si>
  <si>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</si>
  <si>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</si>
  <si>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</si>
  <si>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</si>
  <si>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</si>
  <si>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</si>
  <si>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</si>
  <si>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</si>
  <si>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</si>
  <si>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</si>
  <si>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</si>
  <si>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</si>
  <si>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</si>
  <si>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</si>
  <si>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</si>
  <si>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</si>
  <si>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</si>
  <si>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</si>
  <si>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</si>
  <si>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</si>
  <si>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</si>
  <si>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</si>
  <si>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</si>
  <si>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</si>
  <si>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</si>
  <si>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</si>
  <si>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</si>
  <si>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</si>
  <si>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</si>
  <si>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</si>
  <si>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</si>
  <si>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</si>
  <si>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</si>
  <si>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</si>
  <si>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</si>
  <si>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</si>
  <si>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</si>
  <si>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</si>
  <si>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</si>
  <si>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</si>
  <si>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</si>
  <si>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</si>
  <si>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</si>
  <si>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</si>
  <si>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</si>
  <si>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</si>
  <si>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</si>
  <si>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</si>
  <si>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</si>
  <si>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</si>
  <si>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</si>
  <si>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</si>
  <si>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</si>
  <si>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</si>
  <si>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</si>
  <si>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</si>
  <si>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</si>
  <si>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</si>
  <si>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</si>
  <si>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</si>
  <si>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</si>
  <si>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</si>
  <si>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</si>
  <si>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</si>
  <si>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</si>
  <si>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</si>
  <si>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</si>
  <si>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</si>
  <si>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</si>
  <si>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</si>
  <si>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</si>
  <si>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</si>
  <si>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</si>
  <si>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</si>
  <si>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</si>
  <si>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</si>
  <si>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</si>
  <si>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</si>
  <si>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</si>
  <si>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</si>
  <si>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</si>
  <si>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</si>
  <si>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</si>
  <si>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</si>
  <si>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</si>
  <si>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</si>
  <si>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</si>
  <si>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</si>
  <si>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</si>
  <si>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</si>
  <si>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</si>
  <si>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</si>
  <si>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</si>
  <si>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</si>
  <si>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</si>
  <si>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</si>
  <si>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</si>
  <si>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</si>
  <si>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</si>
  <si>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</si>
  <si>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</si>
  <si>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</si>
  <si>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</si>
  <si>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</si>
  <si>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</si>
  <si>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</si>
  <si>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</si>
  <si>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</si>
  <si>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</si>
  <si>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</si>
  <si>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</si>
  <si>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</si>
  <si>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</si>
  <si>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</si>
  <si>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</si>
  <si>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</si>
  <si>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</si>
  <si>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</si>
  <si>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</si>
  <si>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</si>
  <si>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</si>
  <si>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</si>
  <si>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</si>
  <si>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</si>
  <si>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</si>
  <si>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</si>
  <si>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</si>
  <si>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</si>
  <si>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</si>
  <si>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</si>
  <si>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</si>
  <si>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</si>
  <si>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</si>
  <si>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</si>
  <si>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</si>
  <si>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</si>
  <si>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</si>
  <si>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</si>
  <si>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</si>
  <si>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</si>
  <si>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</si>
  <si>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</si>
  <si>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</si>
  <si>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</si>
  <si>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</si>
  <si>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</si>
  <si>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</si>
  <si>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</si>
  <si>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</si>
  <si>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</si>
  <si>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</si>
  <si>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</si>
  <si>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</si>
  <si>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</si>
  <si>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</si>
  <si>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</si>
  <si>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</si>
  <si>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</si>
  <si>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</si>
  <si>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</si>
  <si>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</si>
  <si>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</si>
  <si>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</si>
  <si>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</si>
  <si>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</si>
  <si>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</si>
  <si>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</si>
  <si>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</si>
  <si>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</si>
  <si>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</si>
  <si>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</si>
  <si>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</si>
  <si>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</si>
  <si>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</si>
  <si>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</si>
  <si>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</si>
  <si>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</si>
  <si>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</si>
  <si>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</si>
  <si>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</si>
  <si>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</si>
  <si>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</si>
  <si>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</si>
  <si>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</si>
  <si>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</si>
  <si>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</si>
  <si>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</si>
  <si>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</si>
  <si>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</si>
  <si>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</si>
  <si>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</si>
  <si>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</si>
  <si>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</si>
  <si>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</si>
  <si>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</si>
  <si>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</si>
  <si>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</si>
  <si>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</si>
  <si>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</si>
  <si>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</si>
  <si>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</si>
  <si>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</si>
  <si>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</si>
  <si>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</si>
  <si>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</si>
  <si>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</si>
  <si>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</si>
  <si>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</si>
  <si>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</si>
  <si>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</si>
  <si>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</si>
  <si>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</si>
  <si>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</si>
  <si>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</si>
  <si>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</si>
  <si>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</si>
  <si>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</si>
  <si>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</si>
  <si>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</si>
  <si>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</si>
  <si>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</si>
  <si>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</si>
  <si>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</si>
  <si>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</si>
  <si>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</si>
  <si>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</si>
  <si>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</si>
  <si>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</si>
  <si>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</si>
  <si>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</si>
  <si>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</si>
  <si>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</si>
  <si>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</si>
  <si>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</si>
  <si>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</si>
  <si>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</si>
  <si>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</si>
  <si>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</si>
  <si>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</si>
  <si>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</si>
  <si>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</si>
  <si>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</si>
  <si>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</si>
  <si>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</si>
  <si>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</si>
  <si>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</si>
  <si>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</si>
  <si>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</si>
  <si>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</si>
  <si>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</si>
  <si>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</si>
  <si>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</si>
  <si>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</si>
  <si>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</si>
  <si>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</si>
  <si>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</si>
  <si>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</si>
  <si>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</si>
  <si>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</si>
  <si>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</si>
  <si>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</si>
  <si>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</si>
  <si>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</si>
  <si>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</si>
  <si>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</si>
  <si>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</si>
  <si>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</si>
  <si>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</si>
  <si>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</si>
  <si>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</si>
  <si>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</si>
  <si>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</si>
  <si>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</si>
  <si>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</si>
  <si>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</si>
  <si>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</si>
  <si>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</si>
  <si>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</si>
  <si>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</si>
  <si>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</si>
  <si>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</si>
  <si>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</si>
  <si>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</si>
  <si>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</si>
  <si>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</si>
  <si>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</si>
  <si>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</si>
  <si>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</si>
  <si>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</si>
  <si>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</si>
  <si>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</si>
  <si>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</si>
  <si>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</si>
  <si>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</si>
  <si>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</si>
  <si>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</si>
  <si>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</si>
  <si>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</si>
  <si>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</si>
  <si>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</si>
  <si>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</si>
  <si>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</si>
  <si>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</si>
  <si>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</si>
  <si>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</si>
  <si>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</si>
  <si>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</si>
  <si>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</si>
  <si>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</si>
  <si>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</si>
  <si>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</si>
  <si>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</si>
  <si>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</si>
  <si>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</si>
  <si>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</si>
  <si>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</si>
  <si>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</si>
  <si>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</si>
  <si>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</si>
  <si>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</si>
  <si>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</si>
  <si>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</si>
  <si>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</si>
  <si>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</si>
  <si>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</si>
  <si>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</si>
  <si>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</si>
  <si>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</si>
  <si>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</si>
  <si>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</si>
  <si>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</si>
  <si>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</si>
  <si>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</si>
  <si>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</si>
  <si>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</si>
  <si>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</si>
  <si>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</si>
  <si>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</si>
  <si>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</si>
  <si>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</si>
  <si>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</si>
  <si>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</si>
  <si>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</si>
  <si>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</si>
  <si>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</si>
  <si>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</si>
  <si>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</si>
  <si>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</si>
  <si>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</si>
  <si>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</si>
  <si>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</si>
  <si>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</si>
  <si>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</si>
  <si>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</si>
  <si>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</si>
  <si>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</si>
  <si>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</si>
  <si>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</si>
  <si>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</si>
  <si>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</si>
  <si>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</si>
  <si>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</si>
  <si>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</si>
  <si>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</si>
  <si>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</si>
  <si>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</si>
  <si>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</si>
  <si>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</si>
  <si>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</si>
  <si>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</si>
  <si>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</si>
  <si>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</si>
  <si>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</si>
  <si>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</si>
  <si>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</si>
  <si>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</si>
  <si>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</si>
  <si>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</si>
  <si>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</si>
  <si>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</si>
  <si>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</si>
  <si>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</si>
  <si>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</si>
  <si>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</si>
  <si>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</si>
  <si>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</si>
  <si>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</si>
  <si>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</si>
  <si>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</si>
  <si>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</si>
  <si>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</si>
  <si>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</si>
  <si>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</si>
  <si>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</si>
  <si>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</si>
  <si>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</si>
  <si>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</si>
  <si>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</si>
  <si>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</si>
  <si>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</si>
  <si>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</si>
  <si>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</si>
  <si>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</si>
  <si>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</si>
  <si>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</si>
  <si>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</si>
  <si>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</si>
  <si>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</si>
  <si>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</si>
  <si>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</si>
  <si>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</si>
  <si>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</si>
  <si>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</si>
  <si>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</si>
  <si>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</si>
  <si>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</si>
  <si>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</si>
  <si>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</si>
  <si>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</si>
  <si>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</si>
  <si>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</si>
  <si>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</si>
  <si>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</si>
  <si>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</si>
  <si>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</si>
  <si>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</si>
  <si>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</si>
  <si>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</si>
  <si>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</si>
  <si>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</si>
  <si>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</si>
  <si>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</si>
  <si>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</si>
  <si>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</si>
  <si>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</si>
  <si>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</si>
  <si>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</si>
  <si>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</si>
  <si>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</si>
  <si>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</si>
  <si>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</si>
  <si>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</si>
  <si>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</si>
  <si>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</si>
  <si>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</si>
  <si>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</si>
  <si>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</si>
  <si>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</si>
  <si>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</si>
  <si>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</si>
  <si>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</si>
  <si>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</si>
  <si>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</si>
  <si>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</si>
  <si>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</si>
  <si>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</si>
  <si>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</si>
  <si>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</si>
  <si>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</si>
  <si>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</si>
  <si>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</si>
  <si>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</si>
  <si>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</si>
  <si>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</si>
  <si>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</si>
  <si>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</si>
  <si>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</si>
  <si>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</si>
  <si>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</si>
  <si>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</si>
  <si>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</si>
  <si>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</si>
  <si>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</si>
  <si>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</si>
  <si>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</si>
  <si>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</si>
  <si>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</si>
  <si>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</si>
  <si>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</si>
  <si>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</si>
  <si>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</si>
  <si>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</si>
  <si>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</si>
  <si>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</si>
  <si>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</si>
  <si>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</si>
  <si>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</si>
  <si>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</si>
  <si>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</si>
  <si>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</si>
  <si>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</si>
  <si>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</si>
  <si>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</si>
  <si>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</si>
  <si>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</si>
  <si>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</si>
  <si>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</si>
  <si>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</si>
  <si>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</si>
  <si>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</si>
  <si>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</si>
  <si>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</si>
  <si>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</si>
  <si>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</si>
  <si>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</si>
  <si>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</si>
  <si>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</si>
  <si>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</si>
  <si>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</si>
  <si>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</si>
  <si>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</si>
  <si>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</si>
  <si>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</si>
  <si>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</si>
  <si>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</si>
  <si>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</si>
  <si>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</si>
  <si>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</si>
  <si>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</si>
  <si>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</si>
  <si>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</si>
  <si>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</si>
  <si>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</si>
  <si>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</si>
  <si>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</si>
  <si>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</si>
  <si>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</si>
  <si>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</si>
  <si>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</si>
  <si>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</si>
  <si>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</si>
  <si>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</si>
  <si>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</si>
  <si>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</si>
  <si>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</si>
  <si>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</si>
  <si>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</si>
  <si>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</si>
  <si>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</si>
  <si>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</si>
  <si>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</si>
  <si>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</si>
  <si>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</si>
  <si>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</si>
  <si>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</si>
  <si>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</si>
  <si>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</si>
  <si>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</si>
  <si>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</si>
  <si>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</si>
  <si>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</si>
  <si>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</si>
  <si>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</si>
  <si>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</si>
  <si>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</si>
  <si>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</si>
  <si>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</si>
  <si>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</si>
  <si>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</si>
  <si>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</si>
  <si>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</si>
  <si>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</si>
  <si>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</si>
  <si>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</si>
  <si>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</si>
  <si>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</si>
  <si>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</si>
  <si>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</si>
  <si>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</si>
  <si>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</si>
  <si>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</si>
  <si>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</si>
  <si>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</si>
  <si>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</si>
  <si>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</si>
  <si>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</si>
  <si>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</si>
  <si>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</si>
  <si>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</si>
  <si>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</si>
  <si>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</si>
  <si>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</si>
  <si>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</si>
  <si>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</si>
  <si>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</si>
  <si>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</si>
  <si>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</si>
  <si>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</si>
  <si>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</si>
  <si>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</si>
  <si>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</si>
  <si>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</si>
  <si>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</si>
  <si>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</si>
  <si>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</si>
  <si>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</si>
  <si>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</si>
  <si>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</si>
  <si>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</si>
  <si>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</si>
  <si>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</si>
  <si>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</si>
  <si>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</si>
  <si>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</si>
  <si>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</si>
  <si>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</si>
  <si>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</si>
  <si>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</si>
  <si>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</si>
  <si>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</si>
  <si>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</si>
  <si>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</si>
  <si>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</si>
  <si>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</si>
  <si>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</si>
  <si>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</si>
  <si>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</si>
  <si>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</si>
  <si>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</si>
  <si>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</si>
  <si>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</si>
  <si>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</si>
  <si>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</si>
  <si>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</si>
  <si>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</si>
  <si>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</si>
  <si>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</si>
  <si>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</si>
  <si>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</si>
  <si>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</si>
  <si>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</si>
  <si>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</si>
  <si>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</si>
  <si>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</si>
  <si>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</si>
  <si>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</si>
  <si>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</si>
  <si>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</si>
  <si>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</si>
  <si>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</si>
  <si>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</si>
  <si>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</si>
  <si>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</si>
  <si>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</si>
  <si>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</si>
  <si>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</si>
  <si>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</si>
  <si>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</si>
  <si>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</si>
  <si>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</si>
  <si>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</si>
  <si>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</si>
  <si>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</si>
  <si>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</si>
  <si>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</si>
  <si>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</si>
  <si>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</si>
  <si>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</si>
  <si>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</si>
  <si>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</si>
  <si>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</si>
  <si>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</si>
  <si>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</si>
  <si>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</si>
  <si>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</si>
  <si>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</si>
  <si>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</si>
  <si>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</si>
  <si>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</si>
  <si>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</si>
  <si>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</si>
  <si>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</si>
  <si>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</si>
  <si>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</si>
  <si>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</si>
  <si>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</si>
  <si>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</si>
  <si>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</si>
  <si>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</si>
  <si>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</si>
  <si>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</si>
  <si>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</si>
  <si>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</si>
  <si>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</si>
  <si>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</si>
  <si>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</si>
  <si>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</si>
  <si>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</si>
  <si>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</si>
  <si>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</si>
  <si>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</si>
  <si>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</si>
  <si>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</si>
  <si>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</si>
  <si>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</si>
  <si>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</si>
  <si>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</si>
  <si>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</si>
  <si>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</si>
  <si>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</si>
  <si>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</si>
  <si>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</si>
  <si>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</si>
  <si>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</si>
  <si>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</si>
  <si>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</si>
  <si>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</si>
  <si>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</si>
  <si>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</si>
  <si>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</si>
  <si>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</si>
  <si>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</si>
  <si>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</si>
  <si>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</si>
  <si>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</si>
  <si>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</si>
  <si>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</si>
  <si>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</si>
  <si>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</si>
  <si>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</si>
  <si>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</si>
  <si>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</si>
  <si>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</si>
  <si>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</si>
  <si>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</si>
  <si>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</si>
  <si>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</si>
  <si>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</si>
  <si>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</si>
  <si>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</si>
  <si>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</si>
  <si>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</si>
  <si>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</si>
  <si>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</si>
  <si>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</si>
  <si>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</si>
  <si>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</si>
  <si>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</si>
  <si>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</si>
  <si>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</si>
  <si>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</si>
  <si>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</si>
  <si>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</si>
  <si>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</si>
  <si>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</si>
  <si>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</si>
  <si>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</si>
  <si>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</si>
  <si>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</si>
  <si>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</si>
  <si>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</si>
  <si>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</si>
  <si>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</si>
  <si>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</si>
  <si>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</si>
  <si>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</si>
  <si>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</si>
  <si>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</si>
  <si>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</si>
  <si>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</si>
  <si>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</si>
  <si>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</si>
  <si>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</si>
  <si>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</si>
  <si>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</si>
  <si>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</si>
  <si>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</si>
  <si>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</si>
  <si>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</si>
  <si>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</si>
  <si>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</si>
  <si>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</si>
  <si>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</si>
  <si>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</si>
  <si>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</si>
  <si>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</si>
  <si>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</si>
  <si>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</si>
  <si>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</si>
  <si>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</si>
  <si>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</si>
  <si>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</si>
  <si>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</si>
  <si>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</si>
  <si>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</si>
  <si>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</si>
  <si>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</si>
  <si>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</si>
  <si>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</si>
  <si>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</si>
  <si>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</si>
  <si>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</si>
  <si>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</si>
  <si>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</si>
  <si>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</si>
  <si>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</si>
  <si>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</si>
  <si>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</si>
  <si>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</si>
  <si>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</si>
  <si>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</si>
  <si>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</si>
  <si>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</si>
  <si>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</si>
  <si>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</si>
  <si>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</si>
  <si>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</si>
  <si>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</si>
  <si>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</si>
  <si>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</si>
  <si>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</si>
  <si>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</si>
  <si>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</si>
  <si>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</si>
  <si>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</si>
  <si>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</si>
  <si>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</si>
  <si>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</si>
  <si>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</si>
  <si>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</si>
  <si>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</si>
  <si>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</si>
  <si>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</si>
  <si>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</si>
  <si>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</si>
  <si>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</si>
  <si>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</si>
  <si>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</si>
  <si>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</si>
  <si>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</si>
  <si>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</si>
  <si>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</si>
  <si>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</si>
  <si>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</si>
  <si>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</si>
  <si>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</si>
  <si>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</si>
  <si>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</si>
  <si>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</si>
  <si>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</si>
  <si>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</si>
  <si>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</si>
  <si>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</si>
  <si>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</si>
  <si>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</si>
  <si>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</si>
  <si>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</si>
  <si>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</si>
  <si>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</si>
  <si>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</si>
  <si>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</si>
  <si>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</si>
  <si>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</si>
  <si>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</si>
  <si>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</si>
  <si>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</si>
  <si>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</si>
  <si>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</si>
  <si>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</si>
  <si>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</si>
  <si>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</si>
  <si>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</si>
  <si>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</si>
  <si>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</si>
  <si>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</si>
  <si>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</si>
  <si>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</si>
  <si>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</si>
  <si>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</si>
  <si>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</si>
  <si>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</si>
  <si>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</si>
  <si>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</si>
  <si>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</si>
  <si>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</si>
  <si>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</si>
  <si>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</si>
  <si>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</si>
  <si>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</si>
  <si>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</si>
  <si>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</si>
  <si>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</si>
  <si>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</si>
  <si>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</si>
  <si>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</si>
  <si>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</si>
  <si>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</si>
  <si>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</si>
  <si>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</si>
  <si>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</si>
  <si>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</si>
  <si>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</si>
  <si>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</si>
  <si>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</si>
  <si>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</si>
  <si>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</si>
  <si>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</si>
  <si>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</si>
  <si>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</si>
  <si>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</si>
  <si>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</si>
  <si>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</si>
  <si>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</si>
  <si>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</si>
  <si>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</si>
  <si>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</si>
  <si>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</si>
  <si>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</si>
  <si>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</si>
  <si>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</si>
  <si>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</si>
  <si>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</si>
  <si>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</si>
  <si>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</si>
  <si>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</si>
  <si>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</si>
  <si>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</si>
  <si>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</si>
  <si>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</si>
  <si>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</si>
  <si>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</si>
  <si>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</si>
  <si>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</si>
  <si>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</si>
  <si>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</si>
  <si>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</si>
  <si>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</si>
  <si>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</si>
  <si>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</si>
  <si>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</si>
  <si>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</si>
  <si>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</si>
  <si>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</si>
  <si>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</si>
  <si>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</si>
  <si>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</si>
  <si>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</si>
  <si>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</si>
  <si>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</si>
  <si>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</si>
  <si>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</si>
  <si>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</si>
  <si>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</si>
  <si>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</si>
  <si>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</si>
  <si>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</si>
  <si>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</si>
  <si>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</si>
  <si>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</si>
  <si>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</si>
  <si>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</si>
  <si>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</si>
  <si>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</si>
  <si>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</si>
  <si>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</si>
  <si>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</si>
  <si>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</si>
  <si>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</si>
  <si>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</si>
  <si>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</si>
  <si>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</si>
  <si>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</si>
  <si>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</si>
  <si>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</si>
  <si>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</si>
  <si>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</si>
  <si>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</si>
  <si>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</si>
  <si>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</si>
  <si>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</si>
  <si>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</si>
  <si>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</si>
  <si>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</si>
  <si>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</si>
  <si>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</si>
  <si>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</si>
  <si>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</si>
  <si>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</si>
  <si>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</si>
  <si>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</si>
  <si>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</si>
  <si>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</si>
  <si>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</si>
  <si>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</si>
  <si>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</si>
  <si>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</si>
  <si>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</si>
  <si>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</si>
  <si>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</si>
  <si>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</si>
  <si>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</si>
  <si>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</si>
  <si>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</si>
  <si>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</si>
  <si>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</si>
  <si>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</si>
  <si>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</si>
  <si>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</si>
  <si>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</si>
  <si>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</si>
  <si>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</si>
  <si>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</si>
  <si>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</si>
  <si>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</si>
  <si>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</si>
  <si>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</si>
  <si>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</si>
  <si>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</si>
  <si>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</si>
  <si>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</si>
  <si>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</si>
  <si>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</si>
  <si>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</si>
  <si>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</si>
  <si>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</si>
  <si>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</si>
  <si>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</si>
  <si>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</si>
  <si>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</si>
  <si>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</si>
  <si>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</si>
  <si>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</si>
  <si>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</si>
  <si>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</si>
  <si>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</si>
  <si>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</si>
  <si>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</si>
  <si>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</si>
  <si>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</si>
  <si>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</si>
  <si>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</si>
  <si>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</si>
  <si>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</si>
  <si>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</si>
  <si>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</si>
  <si>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</si>
  <si>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</si>
  <si>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</si>
  <si>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</si>
  <si>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</si>
  <si>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</si>
  <si>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</si>
  <si>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</si>
  <si>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</si>
  <si>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</si>
  <si>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</si>
  <si>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</si>
  <si>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</si>
  <si>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</si>
  <si>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</si>
  <si>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</si>
  <si>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</si>
  <si>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</si>
  <si>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</si>
  <si>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</si>
  <si>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</si>
  <si>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</si>
  <si>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</si>
  <si>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</si>
  <si>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</si>
  <si>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</si>
  <si>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</si>
  <si>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</si>
  <si>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</si>
  <si>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</si>
  <si>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</si>
  <si>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</si>
  <si>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</si>
  <si>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</si>
  <si>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</si>
  <si>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</si>
  <si>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</si>
  <si>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</si>
  <si>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</si>
  <si>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</si>
  <si>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</si>
  <si>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</si>
  <si>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</si>
  <si>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</si>
  <si>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</si>
  <si>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</si>
  <si>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</si>
  <si>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</si>
  <si>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</si>
  <si>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</si>
  <si>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</si>
  <si>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</si>
  <si>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</si>
  <si>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</si>
  <si>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</si>
  <si>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</si>
  <si>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</si>
  <si>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</si>
  <si>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</si>
  <si>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</si>
  <si>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</si>
  <si>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</si>
  <si>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</si>
  <si>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</si>
  <si>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</si>
  <si>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</si>
  <si>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</si>
  <si>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</si>
  <si>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</si>
  <si>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</si>
  <si>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</si>
  <si>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</si>
  <si>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</si>
  <si>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</si>
  <si>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</si>
  <si>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</si>
  <si>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</si>
  <si>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</si>
  <si>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</si>
  <si>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</si>
  <si>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</si>
  <si>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</si>
  <si>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</si>
  <si>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</si>
  <si>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</si>
  <si>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</si>
  <si>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</si>
  <si>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</si>
  <si>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</si>
  <si>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</si>
  <si>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</si>
  <si>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</si>
  <si>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</si>
  <si>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</si>
  <si>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</si>
  <si>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</si>
  <si>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</si>
  <si>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</si>
  <si>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</si>
  <si>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</si>
  <si>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</si>
  <si>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</si>
  <si>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</si>
  <si>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</si>
  <si>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</si>
  <si>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</si>
  <si>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</si>
  <si>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</si>
  <si>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</si>
  <si>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</si>
  <si>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</si>
  <si>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</si>
  <si>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</si>
  <si>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</si>
  <si>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</si>
  <si>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</si>
  <si>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</si>
  <si>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</si>
  <si>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</si>
  <si>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</si>
  <si>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</si>
  <si>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</si>
  <si>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</si>
  <si>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</si>
  <si>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</si>
  <si>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</si>
  <si>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</si>
  <si>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</si>
  <si>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</si>
  <si>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</si>
  <si>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</si>
  <si>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</si>
  <si>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</si>
  <si>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</si>
  <si>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</si>
  <si>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</si>
  <si>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</si>
  <si>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</si>
  <si>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</si>
  <si>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</si>
  <si>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</si>
  <si>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</si>
  <si>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</si>
  <si>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</si>
  <si>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</si>
  <si>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</si>
  <si>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</si>
  <si>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</si>
  <si>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</si>
  <si>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</si>
  <si>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</si>
  <si>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</si>
  <si>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</si>
  <si>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</si>
  <si>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</si>
  <si>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</si>
  <si>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</si>
  <si>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</si>
  <si>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</si>
  <si>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</si>
  <si>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</si>
  <si>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</si>
  <si>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</si>
  <si>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</si>
  <si>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</si>
  <si>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</si>
  <si>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</si>
  <si>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</si>
  <si>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</si>
  <si>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</si>
  <si>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</si>
  <si>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</si>
  <si>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</si>
  <si>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</si>
  <si>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</si>
  <si>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</si>
  <si>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</si>
  <si>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</si>
  <si>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</si>
  <si>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</si>
  <si>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</si>
  <si>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</si>
  <si>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</si>
  <si>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</si>
  <si>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</si>
  <si>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</si>
  <si>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</si>
  <si>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</si>
  <si>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</si>
  <si>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</si>
  <si>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</si>
  <si>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</si>
  <si>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</si>
  <si>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</si>
  <si>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</si>
  <si>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</si>
  <si>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</si>
  <si>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</si>
  <si>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</si>
  <si>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</si>
  <si>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</si>
  <si>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</si>
  <si>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</si>
  <si>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</si>
  <si>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</si>
  <si>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</si>
  <si>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</si>
  <si>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</si>
  <si>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</si>
  <si>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</si>
  <si>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</si>
  <si>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</si>
  <si>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</si>
  <si>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</si>
  <si>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</si>
  <si>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</si>
  <si>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</si>
  <si>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</si>
  <si>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</si>
  <si>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</si>
  <si>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</si>
  <si>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</si>
  <si>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</si>
  <si>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</si>
  <si>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</si>
  <si>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</si>
  <si>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</si>
  <si>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</si>
  <si>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</si>
  <si>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</si>
  <si>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</si>
  <si>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</si>
  <si>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</si>
  <si>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</si>
  <si>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</si>
  <si>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</si>
  <si>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</si>
  <si>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</si>
  <si>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</si>
  <si>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</si>
  <si>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</si>
  <si>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</si>
  <si>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</si>
  <si>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</si>
  <si>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</si>
  <si>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</si>
  <si>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</si>
  <si>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</si>
  <si>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</si>
  <si>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</si>
  <si>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</si>
  <si>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</si>
  <si>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</si>
  <si>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</si>
  <si>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</si>
  <si>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</si>
  <si>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</si>
  <si>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</si>
  <si>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</si>
  <si>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</si>
  <si>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</si>
  <si>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</si>
  <si>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</si>
  <si>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</si>
  <si>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</si>
  <si>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</si>
  <si>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</si>
  <si>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</si>
  <si>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</si>
  <si>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</si>
  <si>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</si>
  <si>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</si>
  <si>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</si>
  <si>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</si>
  <si>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</si>
  <si>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</si>
  <si>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</si>
  <si>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</si>
  <si>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</si>
  <si>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</si>
  <si>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</si>
  <si>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</si>
  <si>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</si>
  <si>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</si>
  <si>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</si>
  <si>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</si>
  <si>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</si>
  <si>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</si>
  <si>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</si>
  <si>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</si>
  <si>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</si>
  <si>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</si>
  <si>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</si>
  <si>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</si>
  <si>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</si>
  <si>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</si>
  <si>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</si>
  <si>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</si>
  <si>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</si>
  <si>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</si>
  <si>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</si>
  <si>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</si>
  <si>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</si>
  <si>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</si>
  <si>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</si>
  <si>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</si>
  <si>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</si>
  <si>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</si>
  <si>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</si>
  <si>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</si>
  <si>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</si>
  <si>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</si>
  <si>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</si>
  <si>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</si>
  <si>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</si>
  <si>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</si>
  <si>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</si>
  <si>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</si>
  <si>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</si>
  <si>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</si>
  <si>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</si>
  <si>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</si>
  <si>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</si>
  <si>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</si>
  <si>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</si>
  <si>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</si>
  <si>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</si>
  <si>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</si>
  <si>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</si>
  <si>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</si>
  <si>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</si>
  <si>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</si>
  <si>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</si>
  <si>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</si>
  <si>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</si>
  <si>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</si>
  <si>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</si>
  <si>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</si>
  <si>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</si>
  <si>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</si>
  <si>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</si>
  <si>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</si>
  <si>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</si>
  <si>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</si>
  <si>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</si>
  <si>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</si>
  <si>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</si>
  <si>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</si>
  <si>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</si>
  <si>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</si>
  <si>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</si>
  <si>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</si>
  <si>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</si>
  <si>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</si>
  <si>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</si>
  <si>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</si>
  <si>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</si>
  <si>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</si>
  <si>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</si>
  <si>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</si>
  <si>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</si>
  <si>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</si>
  <si>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</si>
  <si>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</si>
  <si>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</si>
  <si>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</si>
  <si>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</si>
  <si>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</si>
  <si>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</si>
  <si>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</si>
  <si>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</si>
  <si>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</si>
  <si>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</si>
  <si>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</si>
  <si>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</si>
  <si>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</si>
  <si>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</si>
  <si>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</si>
  <si>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</si>
  <si>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</si>
  <si>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</si>
  <si>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</si>
  <si>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</si>
  <si>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</si>
  <si>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</si>
  <si>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</si>
  <si>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</si>
  <si>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</si>
  <si>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</si>
  <si>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</si>
  <si>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</si>
  <si>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</si>
  <si>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</si>
  <si>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</si>
  <si>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</si>
  <si>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</si>
  <si>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</si>
  <si>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</si>
  <si>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</si>
  <si>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</si>
  <si>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</si>
  <si>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</si>
  <si>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</si>
  <si>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</si>
  <si>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</si>
  <si>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</si>
  <si>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</si>
  <si>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</si>
  <si>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</si>
  <si>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</si>
  <si>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</si>
  <si>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</si>
  <si>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</si>
  <si>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</si>
  <si>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</si>
  <si>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</si>
  <si>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</si>
  <si>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</si>
  <si>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</si>
  <si>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</si>
  <si>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</si>
  <si>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</si>
  <si>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</si>
  <si>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</si>
  <si>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</si>
  <si>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</si>
  <si>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</si>
  <si>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</si>
  <si>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</si>
  <si>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</si>
  <si>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</si>
  <si>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</si>
  <si>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</si>
  <si>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</si>
  <si>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</si>
  <si>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</si>
  <si>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</si>
  <si>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</si>
  <si>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</si>
  <si>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</si>
  <si>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</si>
  <si>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</si>
  <si>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</si>
  <si>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</si>
  <si>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</si>
  <si>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</si>
  <si>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</si>
  <si>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</si>
  <si>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</si>
  <si>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</si>
  <si>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</si>
  <si>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</si>
  <si>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</si>
  <si>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</si>
  <si>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</si>
  <si>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</si>
  <si>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</si>
  <si>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</si>
  <si>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</si>
  <si>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</si>
  <si>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</si>
  <si>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</si>
  <si>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</si>
  <si>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</si>
  <si>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</si>
  <si>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</si>
  <si>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</si>
  <si>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</si>
  <si>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</si>
  <si>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</si>
  <si>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</si>
  <si>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</si>
  <si>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</si>
  <si>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</si>
  <si>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</si>
  <si>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</si>
  <si>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</si>
  <si>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</si>
  <si>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</si>
  <si>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</si>
  <si>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</si>
  <si>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</si>
  <si>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</si>
  <si>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</si>
  <si>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</si>
  <si>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</si>
  <si>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</si>
  <si>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</si>
  <si>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</si>
  <si>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</si>
  <si>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</si>
  <si>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</si>
  <si>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</si>
  <si>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</si>
  <si>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</si>
  <si>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</si>
  <si>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</si>
  <si>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</si>
  <si>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</si>
  <si>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</si>
  <si>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</si>
  <si>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</si>
  <si>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</si>
  <si>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</si>
  <si>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</si>
  <si>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</si>
  <si>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</si>
  <si>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</si>
  <si>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</si>
  <si>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</si>
  <si>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</si>
  <si>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</si>
  <si>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</si>
  <si>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</si>
  <si>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</si>
  <si>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</si>
  <si>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</si>
  <si>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</si>
  <si>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</si>
  <si>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</si>
  <si>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</si>
  <si>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</si>
  <si>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</si>
  <si>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</si>
  <si>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</si>
  <si>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</si>
  <si>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</si>
  <si>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</si>
  <si>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</si>
  <si>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</si>
  <si>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</si>
  <si>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</si>
  <si>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</si>
  <si>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</si>
  <si>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</si>
  <si>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</si>
  <si>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</si>
  <si>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</si>
  <si>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</si>
  <si>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</si>
  <si>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</si>
  <si>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</si>
  <si>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</si>
  <si>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</si>
  <si>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</si>
  <si>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</si>
  <si>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</si>
  <si>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</si>
  <si>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</si>
  <si>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</si>
  <si>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</si>
  <si>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</si>
  <si>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</si>
  <si>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</si>
  <si>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</si>
  <si>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</si>
  <si>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</si>
  <si>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</si>
  <si>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</si>
  <si>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</si>
  <si>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</si>
  <si>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</si>
  <si>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</si>
  <si>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</si>
  <si>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</si>
  <si>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</si>
  <si>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</si>
  <si>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</si>
  <si>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</si>
  <si>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</si>
  <si>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</si>
  <si>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</si>
  <si>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</si>
  <si>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</si>
  <si>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</si>
  <si>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</si>
  <si>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</si>
  <si>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</si>
  <si>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</si>
  <si>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</si>
  <si>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</si>
  <si>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</si>
  <si>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</si>
  <si>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</si>
  <si>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</si>
  <si>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</si>
  <si>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</si>
  <si>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</si>
  <si>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</si>
  <si>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</si>
  <si>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</si>
  <si>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</si>
  <si>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</si>
  <si>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</si>
  <si>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</si>
  <si>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</si>
  <si>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</si>
  <si>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</si>
  <si>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</si>
  <si>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</si>
  <si>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</si>
  <si>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</si>
  <si>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</si>
  <si>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</si>
  <si>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</si>
  <si>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</si>
  <si>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</si>
  <si>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</si>
  <si>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</si>
  <si>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</si>
  <si>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</si>
  <si>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</si>
  <si>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</si>
  <si>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</si>
  <si>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</si>
  <si>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</si>
  <si>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</si>
  <si>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</si>
  <si>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</si>
  <si>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</si>
  <si>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</si>
  <si>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</si>
  <si>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</si>
  <si>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</si>
  <si>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</si>
  <si>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</si>
  <si>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</si>
  <si>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</si>
  <si>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</si>
  <si>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</si>
  <si>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</si>
  <si>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</si>
  <si>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</si>
  <si>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</si>
  <si>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</si>
  <si>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</si>
  <si>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</si>
  <si>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</si>
  <si>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</si>
  <si>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</si>
  <si>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</si>
  <si>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</si>
  <si>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</si>
  <si>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</si>
  <si>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</si>
  <si>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</si>
  <si>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</si>
  <si>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</si>
  <si>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</si>
  <si>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</si>
  <si>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</si>
  <si>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</si>
  <si>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</si>
  <si>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</si>
  <si>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</si>
  <si>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</si>
  <si>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</si>
  <si>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</si>
  <si>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</si>
  <si>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</si>
  <si>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</si>
  <si>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</si>
  <si>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</si>
  <si>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</si>
  <si>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</si>
  <si>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</si>
  <si>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</si>
  <si>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</si>
  <si>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</si>
  <si>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</si>
  <si>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</si>
  <si>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</si>
  <si>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</si>
  <si>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</si>
  <si>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</si>
  <si>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</si>
  <si>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</si>
  <si>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</si>
  <si>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</si>
  <si>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</si>
  <si>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</si>
  <si>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</si>
  <si>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</si>
  <si>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</si>
  <si>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</si>
  <si>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</si>
  <si>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</si>
  <si>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</si>
  <si>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</si>
  <si>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</si>
  <si>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</si>
  <si>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</si>
  <si>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</si>
  <si>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</si>
  <si>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</si>
  <si>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</si>
  <si>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</si>
  <si>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</si>
  <si>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</si>
  <si>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</si>
  <si>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</si>
  <si>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</si>
  <si>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</si>
  <si>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</si>
  <si>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</si>
  <si>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</si>
  <si>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</si>
  <si>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</si>
  <si>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</si>
  <si>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</si>
  <si>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</si>
  <si>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</si>
  <si>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</si>
  <si>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</si>
  <si>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</si>
  <si>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</si>
  <si>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</si>
  <si>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</si>
  <si>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</si>
  <si>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</si>
  <si>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</si>
  <si>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</si>
  <si>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</si>
  <si>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</si>
  <si>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</si>
  <si>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</si>
  <si>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</si>
  <si>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</si>
  <si>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</si>
  <si>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</si>
  <si>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</si>
  <si>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</si>
  <si>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</si>
  <si>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</si>
  <si>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</si>
  <si>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</si>
  <si>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</si>
  <si>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</si>
  <si>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</si>
  <si>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</si>
  <si>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</si>
  <si>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</si>
  <si>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</si>
  <si>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</si>
  <si>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</si>
  <si>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</si>
  <si>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</si>
  <si>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</si>
  <si>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</si>
  <si>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</si>
  <si>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</si>
  <si>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</si>
  <si>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</si>
  <si>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</si>
  <si>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</si>
  <si>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</si>
  <si>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</si>
  <si>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</si>
  <si>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</si>
  <si>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</si>
  <si>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</si>
  <si>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</si>
  <si>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</si>
  <si>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</si>
  <si>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</si>
  <si>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</si>
  <si>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</si>
  <si>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</si>
  <si>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</si>
  <si>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</si>
  <si>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</si>
  <si>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</si>
  <si>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</si>
  <si>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</si>
  <si>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</si>
  <si>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</si>
  <si>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</si>
  <si>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</si>
  <si>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</si>
  <si>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</si>
  <si>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</si>
  <si>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</si>
  <si>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</si>
  <si>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</si>
  <si>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</si>
  <si>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</si>
  <si>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</si>
  <si>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</si>
  <si>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</si>
  <si>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</si>
  <si>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</si>
  <si>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</si>
  <si>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</si>
  <si>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</si>
  <si>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</si>
  <si>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</si>
  <si>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</si>
  <si>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</si>
  <si>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</si>
  <si>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</si>
  <si>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</si>
  <si>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</si>
  <si>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</si>
  <si>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</si>
  <si>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</si>
  <si>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</si>
  <si>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</si>
  <si>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</si>
  <si>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</si>
  <si>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</si>
  <si>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</si>
  <si>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</si>
  <si>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</si>
  <si>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</si>
  <si>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</si>
  <si>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</si>
  <si>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</si>
  <si>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</si>
  <si>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</si>
  <si>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</si>
  <si>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</si>
  <si>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</si>
  <si>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</si>
  <si>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</si>
  <si>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</si>
  <si>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</si>
  <si>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</si>
  <si>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</si>
  <si>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</si>
  <si>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</si>
  <si>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</si>
  <si>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</si>
  <si>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</si>
  <si>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</si>
  <si>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</si>
  <si>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</si>
  <si>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</si>
  <si>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</si>
  <si>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</si>
  <si>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</si>
  <si>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</si>
  <si>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</si>
  <si>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</si>
  <si>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</si>
  <si>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</si>
  <si>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</si>
  <si>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</si>
  <si>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</si>
  <si>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</si>
  <si>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</si>
  <si>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</si>
  <si>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</si>
  <si>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</si>
  <si>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</si>
  <si>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</si>
  <si>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</si>
  <si>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</si>
  <si>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</si>
  <si>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</si>
  <si>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</si>
  <si>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</si>
  <si>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</si>
  <si>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</si>
  <si>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</si>
  <si>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</si>
  <si>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</si>
  <si>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</si>
  <si>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</si>
  <si>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</si>
  <si>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</si>
  <si>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</si>
  <si>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</si>
  <si>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</si>
  <si>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</si>
  <si>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</si>
  <si>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</si>
  <si>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</si>
  <si>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</si>
  <si>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</si>
  <si>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</si>
  <si>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</si>
  <si>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</si>
  <si>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</si>
  <si>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</si>
  <si>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</si>
  <si>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</si>
  <si>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</si>
  <si>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</si>
  <si>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</si>
  <si>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</si>
  <si>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</si>
  <si>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</si>
  <si>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</si>
  <si>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</si>
  <si>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</si>
  <si>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</si>
  <si>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</si>
  <si>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</si>
  <si>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</si>
  <si>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</si>
  <si>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</si>
  <si>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</si>
  <si>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</si>
  <si>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</si>
  <si>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</si>
  <si>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</si>
  <si>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</si>
  <si>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</si>
  <si>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</si>
  <si>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</si>
  <si>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</si>
  <si>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</si>
  <si>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</si>
  <si>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</si>
  <si>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</si>
  <si>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</si>
  <si>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</si>
  <si>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</si>
  <si>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</si>
  <si>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</si>
  <si>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</si>
  <si>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</si>
  <si>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</si>
  <si>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</si>
  <si>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</si>
  <si>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</si>
  <si>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</si>
  <si>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</si>
  <si>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</si>
  <si>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</si>
  <si>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</si>
  <si>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</si>
  <si>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</si>
  <si>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</si>
  <si>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</si>
  <si>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</si>
  <si>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</si>
  <si>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</si>
  <si>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</si>
  <si>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</si>
  <si>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</si>
  <si>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</si>
  <si>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</si>
  <si>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</si>
  <si>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</si>
  <si>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</si>
  <si>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</si>
  <si>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</si>
  <si>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</si>
  <si>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</si>
  <si>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</si>
  <si>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</si>
  <si>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</si>
  <si>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</si>
  <si>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</si>
  <si>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</si>
  <si>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</si>
  <si>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</si>
  <si>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</si>
  <si>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</si>
  <si>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</si>
  <si>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</si>
  <si>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</si>
  <si>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</si>
  <si>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</si>
  <si>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</si>
  <si>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</si>
  <si>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</si>
  <si>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</si>
  <si>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</si>
  <si>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</si>
  <si>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</si>
  <si>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</si>
  <si>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</si>
  <si>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</si>
  <si>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</si>
  <si>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</si>
  <si>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</si>
  <si>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</si>
  <si>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</si>
  <si>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</si>
  <si>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</si>
  <si>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</si>
  <si>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</si>
  <si>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</si>
  <si>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</si>
  <si>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</si>
  <si>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</si>
  <si>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</si>
  <si>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</si>
  <si>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</si>
  <si>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</si>
  <si>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</si>
  <si>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</si>
  <si>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</si>
  <si>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</si>
  <si>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</si>
  <si>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</si>
  <si>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</si>
  <si>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</si>
  <si>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</si>
  <si>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</si>
  <si>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</si>
  <si>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</si>
  <si>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</si>
  <si>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</si>
  <si>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</si>
  <si>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</si>
  <si>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</si>
  <si>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</si>
  <si>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</si>
  <si>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</si>
  <si>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</si>
  <si>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</si>
  <si>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</si>
  <si>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</si>
  <si>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</si>
  <si>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</si>
  <si>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</si>
  <si>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</si>
  <si>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</si>
  <si>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</si>
  <si>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</si>
  <si>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</si>
  <si>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</si>
  <si>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</si>
  <si>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</si>
  <si>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</si>
  <si>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</si>
  <si>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</si>
  <si>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</si>
  <si>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</si>
  <si>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</si>
  <si>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</si>
  <si>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</si>
  <si>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</si>
  <si>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</si>
  <si>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</si>
  <si>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</si>
  <si>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</si>
  <si>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</si>
  <si>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</si>
  <si>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</si>
  <si>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</si>
  <si>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</si>
  <si>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</si>
  <si>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</si>
  <si>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</si>
  <si>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</si>
  <si>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</si>
  <si>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</si>
  <si>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</si>
  <si>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</si>
  <si>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</si>
  <si>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</si>
  <si>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</si>
  <si>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</si>
  <si>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</si>
  <si>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</si>
  <si>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</si>
  <si>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</si>
  <si>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</si>
  <si>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</si>
  <si>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</si>
  <si>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</si>
  <si>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</si>
  <si>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</si>
  <si>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</si>
  <si>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</si>
  <si>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</si>
  <si>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</si>
  <si>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</si>
  <si>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</si>
  <si>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</si>
  <si>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</si>
  <si>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</si>
  <si>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</si>
  <si>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</si>
  <si>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</si>
  <si>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</si>
  <si>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</si>
  <si>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</si>
  <si>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</si>
  <si>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</si>
  <si>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</si>
  <si>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</si>
  <si>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</si>
  <si>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</si>
  <si>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</si>
  <si>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</si>
  <si>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</si>
  <si>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</si>
  <si>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</si>
  <si>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</si>
  <si>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</si>
  <si>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</si>
  <si>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</si>
  <si>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</si>
  <si>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</si>
  <si>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</si>
  <si>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</si>
  <si>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</si>
  <si>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</si>
  <si>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</si>
  <si>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</si>
  <si>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</si>
  <si>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</si>
  <si>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</si>
  <si>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</si>
  <si>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</si>
  <si>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</si>
  <si>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</si>
  <si>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</si>
  <si>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</si>
  <si>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</si>
  <si>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</si>
  <si>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</si>
  <si>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</si>
  <si>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</si>
  <si>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</si>
  <si>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</si>
  <si>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</si>
  <si>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</si>
  <si>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</si>
  <si>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</si>
  <si>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</si>
  <si>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</si>
  <si>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</si>
  <si>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</si>
  <si>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</si>
  <si>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</si>
  <si>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</si>
  <si>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</si>
  <si>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</si>
  <si>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</si>
  <si>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</si>
  <si>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</si>
  <si>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</si>
  <si>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</si>
  <si>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</si>
  <si>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</si>
  <si>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</si>
  <si>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</si>
  <si>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</si>
  <si>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</si>
  <si>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</si>
  <si>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</si>
  <si>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</si>
  <si>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</si>
  <si>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</si>
  <si>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</si>
  <si>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</si>
  <si>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</si>
  <si>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</si>
  <si>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</si>
  <si>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</si>
  <si>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</si>
  <si>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</si>
  <si>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</si>
  <si>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</si>
  <si>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</si>
  <si>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</si>
  <si>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</si>
  <si>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</si>
  <si>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</si>
  <si>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</si>
  <si>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</si>
  <si>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</si>
  <si>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</si>
  <si>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</si>
  <si>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</si>
  <si>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</si>
  <si>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</si>
  <si>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</si>
  <si>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</si>
  <si>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</si>
  <si>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</si>
  <si>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</si>
  <si>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</si>
  <si>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</si>
  <si>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</si>
  <si>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</si>
  <si>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</si>
  <si>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</si>
  <si>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</si>
  <si>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</si>
  <si>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</si>
  <si>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</si>
  <si>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</si>
  <si>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</si>
  <si>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</si>
  <si>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</si>
  <si>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</si>
  <si>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</si>
  <si>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</si>
  <si>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</si>
  <si>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</si>
  <si>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</si>
  <si>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</si>
  <si>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</si>
  <si>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</si>
  <si>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</si>
  <si>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</si>
  <si>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</si>
  <si>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</si>
  <si>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</si>
  <si>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</si>
  <si>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</si>
  <si>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</si>
  <si>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</si>
  <si>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</si>
  <si>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</si>
  <si>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</si>
  <si>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</si>
  <si>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</si>
  <si>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</si>
  <si>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</si>
  <si>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</si>
  <si>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</si>
  <si>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</si>
  <si>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</si>
  <si>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</si>
  <si>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</si>
  <si>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</si>
  <si>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</si>
  <si>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</si>
  <si>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</si>
  <si>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</si>
  <si>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</si>
  <si>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</si>
  <si>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</si>
  <si>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</si>
  <si>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</si>
  <si>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</si>
  <si>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</si>
  <si>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</si>
  <si>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</si>
  <si>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</si>
  <si>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</si>
  <si>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</si>
  <si>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</si>
  <si>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</si>
  <si>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</si>
  <si>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</si>
  <si>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</si>
  <si>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</si>
  <si>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</si>
  <si>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</si>
  <si>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</si>
  <si>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</si>
  <si>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</si>
  <si>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</si>
  <si>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</si>
  <si>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</si>
  <si>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</si>
  <si>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</si>
  <si>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</si>
  <si>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</si>
  <si>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</si>
  <si>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</si>
  <si>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</si>
  <si>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</si>
  <si>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</si>
  <si>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</si>
  <si>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</si>
  <si>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</si>
  <si>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</si>
  <si>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</si>
  <si>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</si>
  <si>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</si>
  <si>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</si>
  <si>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</si>
  <si>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</si>
  <si>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</si>
  <si>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</si>
  <si>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</si>
  <si>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</si>
  <si>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</si>
  <si>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</si>
  <si>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</si>
  <si>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</si>
  <si>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</si>
  <si>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</si>
  <si>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</si>
  <si>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</si>
  <si>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</si>
  <si>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</si>
  <si>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</si>
  <si>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</si>
  <si>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</si>
  <si>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</si>
  <si>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</si>
  <si>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</si>
  <si>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</si>
  <si>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</si>
  <si>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</si>
  <si>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</si>
  <si>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</si>
  <si>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</si>
  <si>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</si>
  <si>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</si>
  <si>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</si>
  <si>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</si>
  <si>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</si>
  <si>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</si>
  <si>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</si>
  <si>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</si>
  <si>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</si>
  <si>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</si>
  <si>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</si>
  <si>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</si>
  <si>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</si>
  <si>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</si>
  <si>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</si>
  <si>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</si>
  <si>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</si>
  <si>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</si>
  <si>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</si>
  <si>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</si>
  <si>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</si>
  <si>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</si>
  <si>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</si>
  <si>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</si>
  <si>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</si>
  <si>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</si>
  <si>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</si>
  <si>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</si>
  <si>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</si>
  <si>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</si>
  <si>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</si>
  <si>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</si>
  <si>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</si>
  <si>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</si>
  <si>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</si>
  <si>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</si>
  <si>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</si>
  <si>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</si>
  <si>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</si>
  <si>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</si>
  <si>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</si>
  <si>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</si>
  <si>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</si>
  <si>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</si>
  <si>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</si>
  <si>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</si>
  <si>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</si>
  <si>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</si>
  <si>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</si>
  <si>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</si>
  <si>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</si>
  <si>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</si>
  <si>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</si>
  <si>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</si>
  <si>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</si>
  <si>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</si>
  <si>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</si>
  <si>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</si>
  <si>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</si>
  <si>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</si>
  <si>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</si>
  <si>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</si>
  <si>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</si>
  <si>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</si>
  <si>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</si>
  <si>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</si>
  <si>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</si>
  <si>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</si>
  <si>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</si>
  <si>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</si>
  <si>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</si>
  <si>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</si>
  <si>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</si>
  <si>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</si>
  <si>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</si>
  <si>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</si>
  <si>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</si>
  <si>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</si>
  <si>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</si>
  <si>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</si>
  <si>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</si>
  <si>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</si>
  <si>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</si>
  <si>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</si>
  <si>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</si>
  <si>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</si>
  <si>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</si>
  <si>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</si>
  <si>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</si>
  <si>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</si>
  <si>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</si>
  <si>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</si>
  <si>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</si>
  <si>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</si>
  <si>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</si>
  <si>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</si>
  <si>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</si>
  <si>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</si>
  <si>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</si>
  <si>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</si>
  <si>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</si>
  <si>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</si>
  <si>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</si>
  <si>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</si>
  <si>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</si>
  <si>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</si>
  <si>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</si>
  <si>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</si>
  <si>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</si>
  <si>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</si>
  <si>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</si>
  <si>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</si>
  <si>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</si>
  <si>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</si>
  <si>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</si>
  <si>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</si>
  <si>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</si>
  <si>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</si>
  <si>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</si>
  <si>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</si>
  <si>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</si>
  <si>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</si>
  <si>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</si>
  <si>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</si>
  <si>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</si>
  <si>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</si>
  <si>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</si>
  <si>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</si>
  <si>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</si>
  <si>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</si>
  <si>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</si>
  <si>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</si>
  <si>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</si>
  <si>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</si>
  <si>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</si>
  <si>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</si>
  <si>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</si>
  <si>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</si>
  <si>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</si>
  <si>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</si>
  <si>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</si>
  <si>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</si>
  <si>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</si>
  <si>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</si>
  <si>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</si>
  <si>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</si>
  <si>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</si>
  <si>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</si>
  <si>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</si>
  <si>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</si>
  <si>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</si>
  <si>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</si>
  <si>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</si>
  <si>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</si>
  <si>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</si>
  <si>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</si>
  <si>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</si>
  <si>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</si>
  <si>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</si>
  <si>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</si>
  <si>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</si>
  <si>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</si>
  <si>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</si>
  <si>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</si>
  <si>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</si>
  <si>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</si>
  <si>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</si>
  <si>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</si>
  <si>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</si>
  <si>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</si>
  <si>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</si>
  <si>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</si>
  <si>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</si>
  <si>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</si>
  <si>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</si>
  <si>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</si>
  <si>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</si>
  <si>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</si>
  <si>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</si>
  <si>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</si>
  <si>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</si>
  <si>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</si>
  <si>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</si>
  <si>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</si>
  <si>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</si>
  <si>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</si>
  <si>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</si>
  <si>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</si>
  <si>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</si>
  <si>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</si>
  <si>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</si>
  <si>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</si>
  <si>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</si>
  <si>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</si>
  <si>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</si>
  <si>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</si>
  <si>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</si>
  <si>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</si>
  <si>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</si>
  <si>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</si>
  <si>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</si>
  <si>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</si>
  <si>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</si>
  <si>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</si>
  <si>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</si>
  <si>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</si>
  <si>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</si>
  <si>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</si>
  <si>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</si>
  <si>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</si>
  <si>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</si>
  <si>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</si>
  <si>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</si>
  <si>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</si>
  <si>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</si>
  <si>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</si>
  <si>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</si>
  <si>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</si>
  <si>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</si>
  <si>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</si>
  <si>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</si>
  <si>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</si>
  <si>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</si>
  <si>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</si>
  <si>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</si>
  <si>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</si>
  <si>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</si>
  <si>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</si>
  <si>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</si>
  <si>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</si>
  <si>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</si>
  <si>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</si>
  <si>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</si>
  <si>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</si>
  <si>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</si>
  <si>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</si>
  <si>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</si>
  <si>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</si>
  <si>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</si>
  <si>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</si>
  <si>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</si>
  <si>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</si>
  <si>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</si>
  <si>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</si>
  <si>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</si>
  <si>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</si>
  <si>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</si>
  <si>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</si>
  <si>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</si>
  <si>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</si>
  <si>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</si>
  <si>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</si>
  <si>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</si>
  <si>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</si>
  <si>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</si>
  <si>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</si>
  <si>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</si>
  <si>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</si>
  <si>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</si>
  <si>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</si>
  <si>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</si>
  <si>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</si>
  <si>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</si>
  <si>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</si>
  <si>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</si>
  <si>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</si>
  <si>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</si>
  <si>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</si>
  <si>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</si>
  <si>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</si>
  <si>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</si>
  <si>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</si>
  <si>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</si>
  <si>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</si>
  <si>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</si>
  <si>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</si>
  <si>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</si>
  <si>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</si>
  <si>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</si>
  <si>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</si>
  <si>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</si>
  <si>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</si>
  <si>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</si>
  <si>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</si>
  <si>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</si>
  <si>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</si>
  <si>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</si>
  <si>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</si>
  <si>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</si>
  <si>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</si>
  <si>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</si>
  <si>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</si>
  <si>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</si>
  <si>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</si>
  <si>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</si>
  <si>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</si>
  <si>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</si>
  <si>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</si>
  <si>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</si>
  <si>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</si>
  <si>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</si>
  <si>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</si>
  <si>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</si>
  <si>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</si>
  <si>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</si>
  <si>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</si>
  <si>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</si>
  <si>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</si>
  <si>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</si>
  <si>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</si>
  <si>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</si>
  <si>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</si>
  <si>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</si>
  <si>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</si>
  <si>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</si>
  <si>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</si>
  <si>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</si>
  <si>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</si>
  <si>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</si>
  <si>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</si>
  <si>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</si>
  <si>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</si>
  <si>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</si>
  <si>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</si>
  <si>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</si>
  <si>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</si>
  <si>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</si>
  <si>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</si>
  <si>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</si>
  <si>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</si>
  <si>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</si>
  <si>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</si>
  <si>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</si>
  <si>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</si>
  <si>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</si>
  <si>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</si>
  <si>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</si>
  <si>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</si>
  <si>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</si>
  <si>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</si>
  <si>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</si>
  <si>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</si>
  <si>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</si>
  <si>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</si>
  <si>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</si>
  <si>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</si>
  <si>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</si>
  <si>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</si>
  <si>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</si>
  <si>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</si>
  <si>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</si>
  <si>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</si>
  <si>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</si>
  <si>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</si>
  <si>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</si>
  <si>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</si>
  <si>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</si>
  <si>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</si>
  <si>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</si>
  <si>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</si>
  <si>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</si>
  <si>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</si>
  <si>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</si>
  <si>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</si>
  <si>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</si>
  <si>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</si>
  <si>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</si>
  <si>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</si>
  <si>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</si>
  <si>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</si>
  <si>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</si>
  <si>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</si>
  <si>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</si>
  <si>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</si>
  <si>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</si>
  <si>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</si>
  <si>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</si>
  <si>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</si>
  <si>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</si>
  <si>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</si>
  <si>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</si>
  <si>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</si>
  <si>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</si>
  <si>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</si>
  <si>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</si>
  <si>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</si>
  <si>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</si>
  <si>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</si>
  <si>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</si>
  <si>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</si>
  <si>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</si>
  <si>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</si>
  <si>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</si>
  <si>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</si>
  <si>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</si>
  <si>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</si>
  <si>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</si>
  <si>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</si>
  <si>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</si>
  <si>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</si>
  <si>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</si>
  <si>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</si>
  <si>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</si>
  <si>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</si>
  <si>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</si>
  <si>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</si>
  <si>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</si>
  <si>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</si>
  <si>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</si>
  <si>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</si>
  <si>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</si>
  <si>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</si>
  <si>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</si>
  <si>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</si>
  <si>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</si>
  <si>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</si>
  <si>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</si>
  <si>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</si>
  <si>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</si>
  <si>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</si>
  <si>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</si>
  <si>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</si>
  <si>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</si>
  <si>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</si>
  <si>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</si>
  <si>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</si>
  <si>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</si>
  <si>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</si>
  <si>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</si>
  <si>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</si>
  <si>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</si>
  <si>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</si>
  <si>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</si>
  <si>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</si>
  <si>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</si>
  <si>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</si>
  <si>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</si>
  <si>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</si>
  <si>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</si>
  <si>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</si>
  <si>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</si>
  <si>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</si>
  <si>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</si>
  <si>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</si>
  <si>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</si>
  <si>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</si>
  <si>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</si>
  <si>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</si>
  <si>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</si>
  <si>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</si>
  <si>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</si>
  <si>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</si>
  <si>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</si>
  <si>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</si>
  <si>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</si>
  <si>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</si>
  <si>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</si>
  <si>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</si>
  <si>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</si>
  <si>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</si>
  <si>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</si>
  <si>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</si>
  <si>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</si>
  <si>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</si>
  <si>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</si>
  <si>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</si>
  <si>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</si>
  <si>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</si>
  <si>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</si>
  <si>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</si>
  <si>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</si>
  <si>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</si>
  <si>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</si>
  <si>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</si>
  <si>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</si>
  <si>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</si>
  <si>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</si>
  <si>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</si>
  <si>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</si>
  <si>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</si>
  <si>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</si>
  <si>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</si>
  <si>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</si>
  <si>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</si>
  <si>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</si>
  <si>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</si>
  <si>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</si>
  <si>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</si>
  <si>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</si>
  <si>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</si>
  <si>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</si>
  <si>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</si>
  <si>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</si>
  <si>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</si>
  <si>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</si>
  <si>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</si>
  <si>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</si>
  <si>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</si>
  <si>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</si>
  <si>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</si>
  <si>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</si>
  <si>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</si>
  <si>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</si>
  <si>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</si>
  <si>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</si>
  <si>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</si>
  <si>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</si>
  <si>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</si>
  <si>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</si>
  <si>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</si>
  <si>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</si>
  <si>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</si>
  <si>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</si>
  <si>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</si>
  <si>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</si>
  <si>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</si>
  <si>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</si>
  <si>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</si>
  <si>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</si>
  <si>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</si>
  <si>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</si>
  <si>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</si>
  <si>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</si>
  <si>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</si>
  <si>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</si>
  <si>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</si>
  <si>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</si>
  <si>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</si>
  <si>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</si>
  <si>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</si>
  <si>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</si>
  <si>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</si>
  <si>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</si>
  <si>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</si>
  <si>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</si>
  <si>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</si>
  <si>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</si>
  <si>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</si>
  <si>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</si>
  <si>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</si>
  <si>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</si>
  <si>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</si>
  <si>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</si>
  <si>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</si>
  <si>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</si>
  <si>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</si>
  <si>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</si>
  <si>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</si>
  <si>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</si>
  <si>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</si>
  <si>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</si>
  <si>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</si>
  <si>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</si>
  <si>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</si>
  <si>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</si>
  <si>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</si>
  <si>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</si>
  <si>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</si>
  <si>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</si>
  <si>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</si>
  <si>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</si>
  <si>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</si>
  <si>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</si>
  <si>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</si>
  <si>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</si>
  <si>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</si>
  <si>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</si>
  <si>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</si>
  <si>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</si>
  <si>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</si>
  <si>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</si>
  <si>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</si>
  <si>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</si>
  <si>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</si>
  <si>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</si>
  <si>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</si>
  <si>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</si>
  <si>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</si>
  <si>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</si>
  <si>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</si>
  <si>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</si>
  <si>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</si>
  <si>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</si>
  <si>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</si>
  <si>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</si>
  <si>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</si>
  <si>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</si>
  <si>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</si>
  <si>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</si>
  <si>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</si>
  <si>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</si>
  <si>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</si>
  <si>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</si>
  <si>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</si>
  <si>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</si>
  <si>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</si>
  <si>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</si>
  <si>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</si>
  <si>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</si>
  <si>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</si>
  <si>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</si>
  <si>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</si>
  <si>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</si>
  <si>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</si>
  <si>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</si>
  <si>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</si>
  <si>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</si>
  <si>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</si>
  <si>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</si>
  <si>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</si>
  <si>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</si>
  <si>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</si>
  <si>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</si>
  <si>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</si>
  <si>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</si>
  <si>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</si>
  <si>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</si>
  <si>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</si>
  <si>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</si>
  <si>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</si>
  <si>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</si>
  <si>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</si>
  <si>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</si>
  <si>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</si>
  <si>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</si>
  <si>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</si>
  <si>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</si>
  <si>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</si>
  <si>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</si>
  <si>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</si>
  <si>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</si>
  <si>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</si>
  <si>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</si>
  <si>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</si>
  <si>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</si>
  <si>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</si>
  <si>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</si>
  <si>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</si>
  <si>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</si>
  <si>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</si>
  <si>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</si>
  <si>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</si>
  <si>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</si>
  <si>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</si>
  <si>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</si>
  <si>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</si>
  <si>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</si>
  <si>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</si>
  <si>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</si>
  <si>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</si>
  <si>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</si>
  <si>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</si>
  <si>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</si>
  <si>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</si>
  <si>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</si>
  <si>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</si>
  <si>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</si>
  <si>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</si>
  <si>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</si>
  <si>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</si>
  <si>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</si>
  <si>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</si>
  <si>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</si>
  <si>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</si>
  <si>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</si>
  <si>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</si>
  <si>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</si>
  <si>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</si>
  <si>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</si>
  <si>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</si>
  <si>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</si>
  <si>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</si>
  <si>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</si>
  <si>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</si>
  <si>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</si>
  <si>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</si>
  <si>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</si>
  <si>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</si>
  <si>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</si>
  <si>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</si>
  <si>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</si>
  <si>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</si>
  <si>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</si>
  <si>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</si>
  <si>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</si>
  <si>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</si>
  <si>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</si>
  <si>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</si>
  <si>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</si>
  <si>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</si>
  <si>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</si>
  <si>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</si>
  <si>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</si>
  <si>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</si>
  <si>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</si>
  <si>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</si>
  <si>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</si>
  <si>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</si>
  <si>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</si>
  <si>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</si>
  <si>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</si>
  <si>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</si>
  <si>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</si>
  <si>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</si>
  <si>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</si>
  <si>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</si>
  <si>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</si>
  <si>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</si>
  <si>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</si>
  <si>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</si>
  <si>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</si>
  <si>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</si>
  <si>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</si>
  <si>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</si>
  <si>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</si>
  <si>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</si>
  <si>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</si>
  <si>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</si>
  <si>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</si>
  <si>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</si>
  <si>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</si>
  <si>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</si>
  <si>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</si>
  <si>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</si>
  <si>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</si>
  <si>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</si>
  <si>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</si>
  <si>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</si>
  <si>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</si>
  <si>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</si>
  <si>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</si>
  <si>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</si>
  <si>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</si>
  <si>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</si>
  <si>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</si>
  <si>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</si>
  <si>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</si>
  <si>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</si>
  <si>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</si>
  <si>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</si>
  <si>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</si>
  <si>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</si>
  <si>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</si>
  <si>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</si>
  <si>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</si>
  <si>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</si>
  <si>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</si>
  <si>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</si>
  <si>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</si>
  <si>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</si>
  <si>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</si>
  <si>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</si>
  <si>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</si>
  <si>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</si>
  <si>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</si>
  <si>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</si>
  <si>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</si>
  <si>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</si>
  <si>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</si>
  <si>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</si>
  <si>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</si>
  <si>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</si>
  <si>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</si>
  <si>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</si>
  <si>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</si>
  <si>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</si>
  <si>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</si>
  <si>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</si>
  <si>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</si>
  <si>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</si>
  <si>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</si>
  <si>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</si>
  <si>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</si>
  <si>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</si>
  <si>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</si>
  <si>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</si>
  <si>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</si>
  <si>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</si>
  <si>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</si>
  <si>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</si>
  <si>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</si>
  <si>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</si>
  <si>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</si>
  <si>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</si>
  <si>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</si>
  <si>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</si>
  <si>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</si>
  <si>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</si>
  <si>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</si>
  <si>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</si>
  <si>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</si>
  <si>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</si>
  <si>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</si>
  <si>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</si>
  <si>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</si>
  <si>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</si>
  <si>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</si>
  <si>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</si>
  <si>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</si>
  <si>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</si>
  <si>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</si>
  <si>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</si>
  <si>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</si>
  <si>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</si>
  <si>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</si>
  <si>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</si>
  <si>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</si>
  <si>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</si>
  <si>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</si>
  <si>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</si>
  <si>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</si>
  <si>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</si>
  <si>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</si>
  <si>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</si>
  <si>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</si>
  <si>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</si>
  <si>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</si>
  <si>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</si>
  <si>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</si>
  <si>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</si>
  <si>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</si>
  <si>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</si>
  <si>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</si>
  <si>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</si>
  <si>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</si>
  <si>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</si>
  <si>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</si>
  <si>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</si>
  <si>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</si>
  <si>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</si>
  <si>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</si>
  <si>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</si>
  <si>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</si>
  <si>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</si>
  <si>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</si>
  <si>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</si>
  <si>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</si>
  <si>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</si>
  <si>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</si>
  <si>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</si>
  <si>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</si>
  <si>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</si>
  <si>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</si>
  <si>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</si>
  <si>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</si>
  <si>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</si>
  <si>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</si>
  <si>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</si>
  <si>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</si>
  <si>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</si>
  <si>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</si>
  <si>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</si>
  <si>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</si>
  <si>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</si>
  <si>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</si>
  <si>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</si>
  <si>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</si>
  <si>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</si>
  <si>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</si>
  <si>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</si>
  <si>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</si>
  <si>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</si>
  <si>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</si>
  <si>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</si>
  <si>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</si>
  <si>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</si>
  <si>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</si>
  <si>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</si>
  <si>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</si>
  <si>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</si>
  <si>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</si>
  <si>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</si>
  <si>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</si>
  <si>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</si>
  <si>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</si>
  <si>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</si>
  <si>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</si>
  <si>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</si>
  <si>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</si>
  <si>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</si>
  <si>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</si>
  <si>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</si>
  <si>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</si>
  <si>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</si>
  <si>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</si>
  <si>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</si>
  <si>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</si>
  <si>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</si>
  <si>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</si>
  <si>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</si>
  <si>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</si>
  <si>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</si>
  <si>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</si>
  <si>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</si>
  <si>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</si>
  <si>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</si>
  <si>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</si>
  <si>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</si>
  <si>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</si>
  <si>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</si>
  <si>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</si>
  <si>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</si>
  <si>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</si>
  <si>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</si>
  <si>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</si>
  <si>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</si>
  <si>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</si>
  <si>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</si>
  <si>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</si>
  <si>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</si>
  <si>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</si>
  <si>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</si>
  <si>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</si>
  <si>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</si>
  <si>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</si>
  <si>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</si>
  <si>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</si>
  <si>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</si>
  <si>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</si>
  <si>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</si>
  <si>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</si>
  <si>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</si>
  <si>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</si>
  <si>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</si>
  <si>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</si>
  <si>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</si>
  <si>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</si>
  <si>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</si>
  <si>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</si>
  <si>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</si>
  <si>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</si>
  <si>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</si>
  <si>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</si>
  <si>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</si>
  <si>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</si>
  <si>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</si>
  <si>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</si>
  <si>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</si>
  <si>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</si>
  <si>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</si>
  <si>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</si>
  <si>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</si>
  <si>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</si>
  <si>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</si>
  <si>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</si>
  <si>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</si>
  <si>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</si>
  <si>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</si>
  <si>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</si>
  <si>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</si>
  <si>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</si>
  <si>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</si>
  <si>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</si>
  <si>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</si>
  <si>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</si>
  <si>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</si>
  <si>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</si>
  <si>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</si>
  <si>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</si>
  <si>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</si>
  <si>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</si>
  <si>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</si>
  <si>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</si>
  <si>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</si>
  <si>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</si>
  <si>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</si>
  <si>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</si>
  <si>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</si>
  <si>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</si>
  <si>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</si>
  <si>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</si>
  <si>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</si>
  <si>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</si>
  <si>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</si>
  <si>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</si>
  <si>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</si>
  <si>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</si>
  <si>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</si>
  <si>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</si>
  <si>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</si>
  <si>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</si>
  <si>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</si>
  <si>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</si>
  <si>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</si>
  <si>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</si>
  <si>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</si>
  <si>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</si>
  <si>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</si>
  <si>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</si>
  <si>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</si>
  <si>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</si>
  <si>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</si>
  <si>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</si>
  <si>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</si>
  <si>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</si>
  <si>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</si>
  <si>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</si>
  <si>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</si>
  <si>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</si>
  <si>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</si>
  <si>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</si>
  <si>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</si>
  <si>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</si>
  <si>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</si>
  <si>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</si>
  <si>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</si>
  <si>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</si>
  <si>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</si>
  <si>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</si>
  <si>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</si>
  <si>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</si>
  <si>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</si>
  <si>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</si>
  <si>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</si>
  <si>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</si>
  <si>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</si>
  <si>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</si>
  <si>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</si>
  <si>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</si>
  <si>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</si>
  <si>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</si>
  <si>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</si>
  <si>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</si>
  <si>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</si>
  <si>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</si>
  <si>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</si>
  <si>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</si>
  <si>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</si>
  <si>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</si>
  <si>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</si>
  <si>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</si>
  <si>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</si>
  <si>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</si>
  <si>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</si>
  <si>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</si>
  <si>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</si>
  <si>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</si>
  <si>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</si>
  <si>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</si>
  <si>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</si>
  <si>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</si>
  <si>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</si>
  <si>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</si>
  <si>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</si>
  <si>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</si>
  <si>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</si>
  <si>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</si>
  <si>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</si>
  <si>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</si>
  <si>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</si>
  <si>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</si>
  <si>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</si>
  <si>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</si>
  <si>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</si>
  <si>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</si>
  <si>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</si>
  <si>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</si>
  <si>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</si>
  <si>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</si>
  <si>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</si>
  <si>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</si>
  <si>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</si>
  <si>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</si>
  <si>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</si>
  <si>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</si>
  <si>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</si>
  <si>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</si>
  <si>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</si>
  <si>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</si>
  <si>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</si>
  <si>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</si>
  <si>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</si>
  <si>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</si>
  <si>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</si>
  <si>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</si>
  <si>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</si>
  <si>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</si>
  <si>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</si>
  <si>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</si>
  <si>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</si>
  <si>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</si>
  <si>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</si>
  <si>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</si>
  <si>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</si>
  <si>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</si>
  <si>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</si>
  <si>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</si>
  <si>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</si>
  <si>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</si>
  <si>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</si>
  <si>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</si>
  <si>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</si>
  <si>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</si>
  <si>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</si>
  <si>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</si>
  <si>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</si>
  <si>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</si>
  <si>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</si>
  <si>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</si>
  <si>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</si>
  <si>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</si>
  <si>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</si>
  <si>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</si>
  <si>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</si>
  <si>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</si>
  <si>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</si>
  <si>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</si>
  <si>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</si>
  <si>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</si>
  <si>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</si>
  <si>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</si>
  <si>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</si>
  <si>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</si>
  <si>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</si>
  <si>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</si>
  <si>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</si>
  <si>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</si>
  <si>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</si>
  <si>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</si>
  <si>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</si>
  <si>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</si>
  <si>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</si>
  <si>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</si>
  <si>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</si>
  <si>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</si>
  <si>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</si>
  <si>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</si>
  <si>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</si>
  <si>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</si>
  <si>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</si>
  <si>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</si>
  <si>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</si>
  <si>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</si>
  <si>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</si>
  <si>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</si>
  <si>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</si>
  <si>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</si>
  <si>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</si>
  <si>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</si>
  <si>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</si>
  <si>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</si>
  <si>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</si>
  <si>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</si>
  <si>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</si>
  <si>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</si>
  <si>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</si>
  <si>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</si>
  <si>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</si>
  <si>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</si>
  <si>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</si>
  <si>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</si>
  <si>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</si>
  <si>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</si>
  <si>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</si>
  <si>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</si>
  <si>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</si>
  <si>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</si>
  <si>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</si>
  <si>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</si>
  <si>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</si>
  <si>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</si>
  <si>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</si>
  <si>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</si>
  <si>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</si>
  <si>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</si>
  <si>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</si>
  <si>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</si>
  <si>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</si>
  <si>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</si>
  <si>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</si>
  <si>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</si>
  <si>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</si>
  <si>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</si>
  <si>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</si>
  <si>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</si>
  <si>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</si>
  <si>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</si>
  <si>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</si>
  <si>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</si>
  <si>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</si>
  <si>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</si>
  <si>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</si>
  <si>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</si>
  <si>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</si>
  <si>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</si>
  <si>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</si>
  <si>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</si>
  <si>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</si>
  <si>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</si>
  <si>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</si>
  <si>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</si>
  <si>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</si>
  <si>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</si>
  <si>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</si>
  <si>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</si>
  <si>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</si>
  <si>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</si>
  <si>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</si>
  <si>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</si>
  <si>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</si>
  <si>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</si>
  <si>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</si>
  <si>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</si>
  <si>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</si>
  <si>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</si>
  <si>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</si>
  <si>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</si>
  <si>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</si>
  <si>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</si>
  <si>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</si>
  <si>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</si>
  <si>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</si>
  <si>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</si>
  <si>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</si>
  <si>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</si>
  <si>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</si>
  <si>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</si>
  <si>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</si>
  <si>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</si>
  <si>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</si>
  <si>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</si>
  <si>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</si>
  <si>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</si>
  <si>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</si>
  <si>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</si>
  <si>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</si>
  <si>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</si>
  <si>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</si>
  <si>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</si>
  <si>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</si>
  <si>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</si>
  <si>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</si>
  <si>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</si>
  <si>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</si>
  <si>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</si>
  <si>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</si>
  <si>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</si>
  <si>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</si>
  <si>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</si>
  <si>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</si>
  <si>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</si>
  <si>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</si>
  <si>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</si>
  <si>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</si>
  <si>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</si>
  <si>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</si>
  <si>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</si>
  <si>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</si>
  <si>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</si>
  <si>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</si>
  <si>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</si>
  <si>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</si>
  <si>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</si>
  <si>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</si>
  <si>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</si>
  <si>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</si>
  <si>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</si>
  <si>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</si>
  <si>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</si>
  <si>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</si>
  <si>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</si>
  <si>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</si>
  <si>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</si>
  <si>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</si>
  <si>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</si>
  <si>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</si>
  <si>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</si>
  <si>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</si>
  <si>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</si>
  <si>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</si>
  <si>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</si>
  <si>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</si>
  <si>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</si>
  <si>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</si>
  <si>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</si>
  <si>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</si>
  <si>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</si>
  <si>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</si>
  <si>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</si>
  <si>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</si>
  <si>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</si>
  <si>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</si>
  <si>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</si>
  <si>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</si>
  <si>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</si>
  <si>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</si>
  <si>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</si>
  <si>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</si>
  <si>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</si>
  <si>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</si>
  <si>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</si>
  <si>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</si>
  <si>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</si>
  <si>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</si>
  <si>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</si>
  <si>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</si>
  <si>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</si>
  <si>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</si>
  <si>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</si>
  <si>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</si>
  <si>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</si>
  <si>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</si>
  <si>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</si>
  <si>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</si>
  <si>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</si>
  <si>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</si>
  <si>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</si>
  <si>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</si>
  <si>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</si>
  <si>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</si>
  <si>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</si>
  <si>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</si>
  <si>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</si>
  <si>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</si>
  <si>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</si>
  <si>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</si>
  <si>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</si>
  <si>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</si>
  <si>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</si>
  <si>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</si>
  <si>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</si>
  <si>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</si>
  <si>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</si>
  <si>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</si>
  <si>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</si>
  <si>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</si>
  <si>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</si>
  <si>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</si>
  <si>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</si>
  <si>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</si>
  <si>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</si>
  <si>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</si>
  <si>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</si>
  <si>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</si>
  <si>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</si>
  <si>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</si>
  <si>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</si>
  <si>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</si>
  <si>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</si>
  <si>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</si>
  <si>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</si>
  <si>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</si>
  <si>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</si>
  <si>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</si>
  <si>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</si>
  <si>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</si>
  <si>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</si>
  <si>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</si>
  <si>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</si>
  <si>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</si>
  <si>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</si>
  <si>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</si>
  <si>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</si>
  <si>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</si>
  <si>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</si>
  <si>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</si>
  <si>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</si>
  <si>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</si>
  <si>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</si>
  <si>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</si>
  <si>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</si>
  <si>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</si>
  <si>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</si>
  <si>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</si>
  <si>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</si>
  <si>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</si>
  <si>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</si>
  <si>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</si>
  <si>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</si>
  <si>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</si>
  <si>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</si>
  <si>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</si>
  <si>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</si>
  <si>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</si>
  <si>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</si>
  <si>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</si>
  <si>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</si>
  <si>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</si>
  <si>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</si>
  <si>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</si>
  <si>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</si>
  <si>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</si>
  <si>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</si>
  <si>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</si>
  <si>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</si>
  <si>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</si>
  <si>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</si>
  <si>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</si>
  <si>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</si>
  <si>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</si>
  <si>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</si>
  <si>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</si>
  <si>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</si>
  <si>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</si>
  <si>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</si>
  <si>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</si>
  <si>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</si>
  <si>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</si>
  <si>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</si>
  <si>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</si>
  <si>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</si>
  <si>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</si>
  <si>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</si>
  <si>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</si>
  <si>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</si>
  <si>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</si>
  <si>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</si>
  <si>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</si>
  <si>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</si>
  <si>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</si>
  <si>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</si>
  <si>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</si>
  <si>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</si>
  <si>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</si>
  <si>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</si>
  <si>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</si>
  <si>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</si>
  <si>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</si>
  <si>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</si>
  <si>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</si>
  <si>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</si>
  <si>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</si>
  <si>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</si>
  <si>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</si>
  <si>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</si>
  <si>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</si>
  <si>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</si>
  <si>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</si>
  <si>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</si>
  <si>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</si>
  <si>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</si>
  <si>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</si>
  <si>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</si>
  <si>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</si>
  <si>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</si>
  <si>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</si>
  <si>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</si>
  <si>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</si>
  <si>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</si>
  <si>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</si>
  <si>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</si>
  <si>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</si>
  <si>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</si>
  <si>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</si>
  <si>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</si>
  <si>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</si>
  <si>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</si>
  <si>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</si>
  <si>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</si>
  <si>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</si>
  <si>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</si>
  <si>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</si>
  <si>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</si>
  <si>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</si>
  <si>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</si>
  <si>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</si>
  <si>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</si>
  <si>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</si>
  <si>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</si>
  <si>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</si>
  <si>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</si>
  <si>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</si>
  <si>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</si>
  <si>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</si>
  <si>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</si>
  <si>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</si>
  <si>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</si>
  <si>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</si>
  <si>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</si>
  <si>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</si>
  <si>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</si>
  <si>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</si>
  <si>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</si>
  <si>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</si>
  <si>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</si>
  <si>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</si>
  <si>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</si>
  <si>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</si>
  <si>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</si>
  <si>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</si>
  <si>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</si>
  <si>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</si>
  <si>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</si>
  <si>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</si>
  <si>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</si>
  <si>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</si>
  <si>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</si>
  <si>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</si>
  <si>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</si>
  <si>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</si>
  <si>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</si>
  <si>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</si>
  <si>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</si>
  <si>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</si>
  <si>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</si>
  <si>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</si>
  <si>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</si>
  <si>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</si>
  <si>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</si>
  <si>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</si>
  <si>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</si>
  <si>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</si>
  <si>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</si>
  <si>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</si>
  <si>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</si>
  <si>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</si>
  <si>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</si>
  <si>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</si>
  <si>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</si>
  <si>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</si>
  <si>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</si>
  <si>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</si>
  <si>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</si>
  <si>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</si>
  <si>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</si>
  <si>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</si>
  <si>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</si>
  <si>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</si>
  <si>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</si>
  <si>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</si>
  <si>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</si>
  <si>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</si>
  <si>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</si>
  <si>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</si>
  <si>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</si>
  <si>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</si>
  <si>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</si>
  <si>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</si>
  <si>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</si>
  <si>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</si>
  <si>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</si>
  <si>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</si>
  <si>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</si>
  <si>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</si>
  <si>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</si>
  <si>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</si>
  <si>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</si>
  <si>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</si>
  <si>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</si>
  <si>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</si>
  <si>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</si>
  <si>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</si>
  <si>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</si>
  <si>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</si>
  <si>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</si>
  <si>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</si>
  <si>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</si>
  <si>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</si>
  <si>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</si>
  <si>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</si>
  <si>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</si>
  <si>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</si>
  <si>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</si>
  <si>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</si>
  <si>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</si>
  <si>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</si>
  <si>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</si>
  <si>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</si>
  <si>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</si>
  <si>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</si>
  <si>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</si>
  <si>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</si>
  <si>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</si>
  <si>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</si>
  <si>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</si>
  <si>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</si>
  <si>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</si>
  <si>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</si>
  <si>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</si>
  <si>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</si>
  <si>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</si>
  <si>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</si>
  <si>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</si>
  <si>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</si>
  <si>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</si>
  <si>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</si>
  <si>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</si>
  <si>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</si>
  <si>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</si>
  <si>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</si>
  <si>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</si>
  <si>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</si>
  <si>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</si>
  <si>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</si>
  <si>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</si>
  <si>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</si>
  <si>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</si>
  <si>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</si>
  <si>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</si>
  <si>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</si>
  <si>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</si>
  <si>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</si>
  <si>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</si>
  <si>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</si>
  <si>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</si>
  <si>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</si>
  <si>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</si>
  <si>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</si>
  <si>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</si>
  <si>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</si>
  <si>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</si>
  <si>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</si>
  <si>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</si>
  <si>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</si>
  <si>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</si>
  <si>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</si>
  <si>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</si>
  <si>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</si>
  <si>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</si>
  <si>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</si>
  <si>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</si>
  <si>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</si>
  <si>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</si>
  <si>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</si>
  <si>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</si>
  <si>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</si>
  <si>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</si>
  <si>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</si>
  <si>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</si>
  <si>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</si>
  <si>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</si>
  <si>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</si>
  <si>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</si>
  <si>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</si>
  <si>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</si>
  <si>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</si>
  <si>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</si>
  <si>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</si>
  <si>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</si>
  <si>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</si>
  <si>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</si>
  <si>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</si>
  <si>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</si>
  <si>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</si>
  <si>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</si>
  <si>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</si>
  <si>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</si>
  <si>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</si>
  <si>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</si>
  <si>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</si>
  <si>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</si>
  <si>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</si>
  <si>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</si>
  <si>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</si>
  <si>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</si>
  <si>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</si>
  <si>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</si>
  <si>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</si>
  <si>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</si>
  <si>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</si>
  <si>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</si>
  <si>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</si>
  <si>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</si>
  <si>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</si>
  <si>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</si>
  <si>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</si>
  <si>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</si>
  <si>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</si>
  <si>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</si>
  <si>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</si>
  <si>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</si>
  <si>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</si>
  <si>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</si>
  <si>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</si>
  <si>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</si>
  <si>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</si>
  <si>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</si>
  <si>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</si>
  <si>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</si>
  <si>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</si>
  <si>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</si>
  <si>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</si>
  <si>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</si>
  <si>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</si>
  <si>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</si>
  <si>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</si>
  <si>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</si>
  <si>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</si>
  <si>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</si>
  <si>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</si>
  <si>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</si>
  <si>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</si>
  <si>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</si>
  <si>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</si>
  <si>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</si>
  <si>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</si>
  <si>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</si>
  <si>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</si>
  <si>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</si>
  <si>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</si>
  <si>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</si>
  <si>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</si>
  <si>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</si>
  <si>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</si>
  <si>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</si>
  <si>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</si>
  <si>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</si>
  <si>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</si>
  <si>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</si>
  <si>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</si>
  <si>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</si>
  <si>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</si>
  <si>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</si>
  <si>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</si>
  <si>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</si>
  <si>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</si>
  <si>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</si>
  <si>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</si>
  <si>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</si>
  <si>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</si>
  <si>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</si>
  <si>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</si>
  <si>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</si>
  <si>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</si>
  <si>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</si>
  <si>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</si>
  <si>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</si>
  <si>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</si>
  <si>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</si>
  <si>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</si>
  <si>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</si>
  <si>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</si>
  <si>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</si>
  <si>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</si>
  <si>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</si>
  <si>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</si>
  <si>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</si>
  <si>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</si>
  <si>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</si>
  <si>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</si>
  <si>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</si>
  <si>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</si>
  <si>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</si>
  <si>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</si>
  <si>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</si>
  <si>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</si>
  <si>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</si>
  <si>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</si>
  <si>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</si>
  <si>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</si>
  <si>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</si>
  <si>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</si>
  <si>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</si>
  <si>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</si>
  <si>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</si>
  <si>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</si>
  <si>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</si>
  <si>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</si>
  <si>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</si>
  <si>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</si>
  <si>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</si>
  <si>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</si>
  <si>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</si>
  <si>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</si>
  <si>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</si>
  <si>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</si>
  <si>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</si>
  <si>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</si>
  <si>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</si>
  <si>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</si>
  <si>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</si>
  <si>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</si>
  <si>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</si>
  <si>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</si>
  <si>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</si>
  <si>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</si>
  <si>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</si>
  <si>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</si>
  <si>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</si>
  <si>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</si>
  <si>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</si>
  <si>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</si>
  <si>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</si>
  <si>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</si>
  <si>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</si>
  <si>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</si>
  <si>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</si>
  <si>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</si>
  <si>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</si>
  <si>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</si>
  <si>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</si>
  <si>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</si>
  <si>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</si>
  <si>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</si>
  <si>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</si>
  <si>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</si>
  <si>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</si>
  <si>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</si>
  <si>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</si>
  <si>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</si>
  <si>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</si>
  <si>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</si>
  <si>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</si>
  <si>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</si>
  <si>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</si>
  <si>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</si>
  <si>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</si>
  <si>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</si>
  <si>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</si>
  <si>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</si>
  <si>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</si>
  <si>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</si>
  <si>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</si>
  <si>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</si>
  <si>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</si>
  <si>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</si>
  <si>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</si>
  <si>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</si>
  <si>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</si>
  <si>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</si>
  <si>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</si>
  <si>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</si>
  <si>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</si>
  <si>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</si>
  <si>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</si>
  <si>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</si>
  <si>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</si>
  <si>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</si>
  <si>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</si>
  <si>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</si>
  <si>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</si>
  <si>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</si>
  <si>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</si>
  <si>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</si>
  <si>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</si>
  <si>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</si>
  <si>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</si>
  <si>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</si>
  <si>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</si>
  <si>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</si>
  <si>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</si>
  <si>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</si>
  <si>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</si>
  <si>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</si>
  <si>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</si>
  <si>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</si>
  <si>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</si>
  <si>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</si>
  <si>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</si>
  <si>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</si>
  <si>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</si>
  <si>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</si>
  <si>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</si>
  <si>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</si>
  <si>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</si>
  <si>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</si>
  <si>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</si>
  <si>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</si>
  <si>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</si>
  <si>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</si>
  <si>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</si>
  <si>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</si>
  <si>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</si>
  <si>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</si>
  <si>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</si>
  <si>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</si>
  <si>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</si>
  <si>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</si>
  <si>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</si>
  <si>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</si>
  <si>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</si>
  <si>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</si>
  <si>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</si>
  <si>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</si>
  <si>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</si>
  <si>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</si>
  <si>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</si>
  <si>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</si>
  <si>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</si>
  <si>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</si>
  <si>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</si>
  <si>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</si>
  <si>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</si>
  <si>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</si>
  <si>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</si>
  <si>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</si>
  <si>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</si>
  <si>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</si>
  <si>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</si>
  <si>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</si>
  <si>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</si>
  <si>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</si>
  <si>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</si>
  <si>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</si>
  <si>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</si>
  <si>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</si>
  <si>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</si>
  <si>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</si>
  <si>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</si>
  <si>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</si>
  <si>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</si>
  <si>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</si>
  <si>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</si>
  <si>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</si>
  <si>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</si>
  <si>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</si>
  <si>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</si>
  <si>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</si>
  <si>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</si>
  <si>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</si>
  <si>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</si>
  <si>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</si>
  <si>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</si>
  <si>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</si>
  <si>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</si>
  <si>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</si>
  <si>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</si>
  <si>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</si>
  <si>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</si>
  <si>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</si>
  <si>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</si>
  <si>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</si>
  <si>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</si>
  <si>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</si>
  <si>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</si>
  <si>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</si>
  <si>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</si>
  <si>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</si>
  <si>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</si>
  <si>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</si>
  <si>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</si>
  <si>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</si>
  <si>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</si>
  <si>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</si>
  <si>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</si>
  <si>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</si>
  <si>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</si>
  <si>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</si>
  <si>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</si>
  <si>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</si>
  <si>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</si>
  <si>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</si>
  <si>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</si>
  <si>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</si>
  <si>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</si>
  <si>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</si>
  <si>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</si>
  <si>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</si>
  <si>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</si>
  <si>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</si>
  <si>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</si>
  <si>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</si>
  <si>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</si>
  <si>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</si>
  <si>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</si>
  <si>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</si>
  <si>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</si>
  <si>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</si>
  <si>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</si>
  <si>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</si>
  <si>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</si>
  <si>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</si>
  <si>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</si>
  <si>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</si>
  <si>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</si>
  <si>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</si>
  <si>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</si>
  <si>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</si>
  <si>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</si>
  <si>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</si>
  <si>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</si>
  <si>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</si>
  <si>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</si>
  <si>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</si>
  <si>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</si>
  <si>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</si>
  <si>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</si>
  <si>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</si>
  <si>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</si>
  <si>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</si>
  <si>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</si>
  <si>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</si>
  <si>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</si>
  <si>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</si>
  <si>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</si>
  <si>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</si>
  <si>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</si>
  <si>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</si>
  <si>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</si>
  <si>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</si>
  <si>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</si>
  <si>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</si>
  <si>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</si>
  <si>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</si>
  <si>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</si>
  <si>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</si>
  <si>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</si>
  <si>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</si>
  <si>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</si>
  <si>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</si>
  <si>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</si>
  <si>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</si>
  <si>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</si>
  <si>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</si>
  <si>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</si>
  <si>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</si>
  <si>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</si>
  <si>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</si>
  <si>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</si>
  <si>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</si>
  <si>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</si>
  <si>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</si>
  <si>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</si>
  <si>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</si>
  <si>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</si>
  <si>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</si>
  <si>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</si>
  <si>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</si>
  <si>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</si>
  <si>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</si>
  <si>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</si>
  <si>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</si>
  <si>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</si>
  <si>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</si>
  <si>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</si>
  <si>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</si>
  <si>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</si>
  <si>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</si>
  <si>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</si>
  <si>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</si>
  <si>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</si>
  <si>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</si>
  <si>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</si>
  <si>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</si>
  <si>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</si>
  <si>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</si>
  <si>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</si>
  <si>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</si>
  <si>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</si>
  <si>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</si>
  <si>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</si>
  <si>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</si>
  <si>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</si>
  <si>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</si>
  <si>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</si>
  <si>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</si>
  <si>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</si>
  <si>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</si>
  <si>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</si>
  <si>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</si>
  <si>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</si>
  <si>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</si>
  <si>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</si>
  <si>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</si>
  <si>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</si>
  <si>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</si>
  <si>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</si>
  <si>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</si>
  <si>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</si>
  <si>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</si>
  <si>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</si>
  <si>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</si>
  <si>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</si>
  <si>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</si>
  <si>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</si>
  <si>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</si>
  <si>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</si>
  <si>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</si>
  <si>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</si>
  <si>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</si>
  <si>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</si>
  <si>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</si>
  <si>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</si>
  <si>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</si>
  <si>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</si>
  <si>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</si>
  <si>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</si>
  <si>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</si>
  <si>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</si>
  <si>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</si>
  <si>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</si>
  <si>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</si>
  <si>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</si>
  <si>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</si>
  <si>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</si>
  <si>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</si>
  <si>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</si>
  <si>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</si>
  <si>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</si>
  <si>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</si>
  <si>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</si>
  <si>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</si>
  <si>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</si>
  <si>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</si>
  <si>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</si>
  <si>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</si>
  <si>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</si>
  <si>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</si>
  <si>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</si>
  <si>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</si>
  <si>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</si>
  <si>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</si>
  <si>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</si>
  <si>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</si>
  <si>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</si>
  <si>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</si>
  <si>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</si>
  <si>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</si>
  <si>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</si>
  <si>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</si>
  <si>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</si>
  <si>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</si>
  <si>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</si>
  <si>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</si>
  <si>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</si>
  <si>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</si>
  <si>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</si>
  <si>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</si>
  <si>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</si>
  <si>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</si>
  <si>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</si>
  <si>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</si>
  <si>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</si>
  <si>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</si>
  <si>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</si>
  <si>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</si>
  <si>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</si>
  <si>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</si>
  <si>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</si>
  <si>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</si>
  <si>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</si>
  <si>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</si>
  <si>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</si>
  <si>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</si>
  <si>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</si>
  <si>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</si>
  <si>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</si>
  <si>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</si>
  <si>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</si>
  <si>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</si>
  <si>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</si>
  <si>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</si>
  <si>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</si>
  <si>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</si>
  <si>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</si>
  <si>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</si>
  <si>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</si>
  <si>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</si>
  <si>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</si>
  <si>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</si>
  <si>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</si>
  <si>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</si>
  <si>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</si>
  <si>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</si>
  <si>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</si>
  <si>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</si>
  <si>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</si>
  <si>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</si>
  <si>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</si>
  <si>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</si>
  <si>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</si>
  <si>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</si>
  <si>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</si>
  <si>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</si>
  <si>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</si>
  <si>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</si>
  <si>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</si>
  <si>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</si>
  <si>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</si>
  <si>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</si>
  <si>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</si>
  <si>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</si>
  <si>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</si>
  <si>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</si>
  <si>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</si>
  <si>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</si>
  <si>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</si>
  <si>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</si>
  <si>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</si>
  <si>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</si>
  <si>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</si>
  <si>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</si>
  <si>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</si>
  <si>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</si>
  <si>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</si>
  <si>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</si>
  <si>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</si>
  <si>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</si>
  <si>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</si>
  <si>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</si>
  <si>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</si>
  <si>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</si>
  <si>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</si>
  <si>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</si>
  <si>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</si>
  <si>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</si>
  <si>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</si>
  <si>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</si>
  <si>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</si>
  <si>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</si>
  <si>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</si>
  <si>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</si>
  <si>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</si>
  <si>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</si>
  <si>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</si>
  <si>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</si>
  <si>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</si>
  <si>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</si>
  <si>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</si>
  <si>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</si>
  <si>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</si>
  <si>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</si>
  <si>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</si>
  <si>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</si>
  <si>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</si>
  <si>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</si>
  <si>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</si>
  <si>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</si>
  <si>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</si>
  <si>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</si>
  <si>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</si>
  <si>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</si>
  <si>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</si>
  <si>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</si>
  <si>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</si>
  <si>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</si>
  <si>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</si>
  <si>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</si>
  <si>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</si>
  <si>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</si>
  <si>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</si>
  <si>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</si>
  <si>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</si>
  <si>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</si>
  <si>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</si>
  <si>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</si>
  <si>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</si>
  <si>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</si>
  <si>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</si>
  <si>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</si>
  <si>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</si>
  <si>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</si>
  <si>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</si>
  <si>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</si>
  <si>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</si>
  <si>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</si>
  <si>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</si>
  <si>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</si>
  <si>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</si>
  <si>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</si>
  <si>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</si>
  <si>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</si>
  <si>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</si>
  <si>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</si>
  <si>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</si>
  <si>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</si>
  <si>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</si>
  <si>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</si>
  <si>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</si>
  <si>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</si>
  <si>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</si>
  <si>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</si>
  <si>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</si>
  <si>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</si>
  <si>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</si>
  <si>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</si>
  <si>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</si>
  <si>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</si>
  <si>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</si>
  <si>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</si>
  <si>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</si>
  <si>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</si>
  <si>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</si>
  <si>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</si>
  <si>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</si>
  <si>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</si>
  <si>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</si>
  <si>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</si>
  <si>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</si>
  <si>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</si>
  <si>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</si>
  <si>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</si>
  <si>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</si>
  <si>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</si>
  <si>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</si>
  <si>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</si>
  <si>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</si>
  <si>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</si>
  <si>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</si>
  <si>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</si>
  <si>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</si>
  <si>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</si>
  <si>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</si>
  <si>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</si>
  <si>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</si>
  <si>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</si>
  <si>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</si>
  <si>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</si>
  <si>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</si>
  <si>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</si>
  <si>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</si>
  <si>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</si>
  <si>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</si>
  <si>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</si>
  <si>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</si>
  <si>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</si>
  <si>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</si>
  <si>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</si>
  <si>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</si>
  <si>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</si>
  <si>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</si>
  <si>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</si>
  <si>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</si>
  <si>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</si>
  <si>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</si>
  <si>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</si>
  <si>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</si>
  <si>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</si>
  <si>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</si>
  <si>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</si>
  <si>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</si>
  <si>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</si>
  <si>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</si>
  <si>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</si>
  <si>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</si>
  <si>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</si>
  <si>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</si>
  <si>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</si>
  <si>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</si>
  <si>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</si>
  <si>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</si>
  <si>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</si>
  <si>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</si>
  <si>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</si>
  <si>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</si>
  <si>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</si>
  <si>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</si>
  <si>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</si>
  <si>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</si>
  <si>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</si>
  <si>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</si>
  <si>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</si>
  <si>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</si>
  <si>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</si>
  <si>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</si>
  <si>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</si>
  <si>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</si>
  <si>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</si>
  <si>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</si>
  <si>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</si>
  <si>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</si>
  <si>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</si>
  <si>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</si>
  <si>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</si>
  <si>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</si>
  <si>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</si>
  <si>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</si>
  <si>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</si>
  <si>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</si>
  <si>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</si>
  <si>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</si>
  <si>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</si>
  <si>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</si>
  <si>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</si>
  <si>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</si>
  <si>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</si>
  <si>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</si>
  <si>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</si>
  <si>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</si>
  <si>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</si>
  <si>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</si>
  <si>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</si>
  <si>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</si>
  <si>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</si>
  <si>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</si>
  <si>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</si>
  <si>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</si>
  <si>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</si>
  <si>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</si>
  <si>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</si>
  <si>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</si>
  <si>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</si>
  <si>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</si>
  <si>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</si>
  <si>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</si>
  <si>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</si>
  <si>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</si>
  <si>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</si>
  <si>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</si>
  <si>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</si>
  <si>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</si>
  <si>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</si>
  <si>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</si>
  <si>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</si>
  <si>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</si>
  <si>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</si>
  <si>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</si>
  <si>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</si>
  <si>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</si>
  <si>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</si>
  <si>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</si>
  <si>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</si>
  <si>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</si>
  <si>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</si>
  <si>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</si>
  <si>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</si>
  <si>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</si>
  <si>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</si>
  <si>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</si>
  <si>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</si>
  <si>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</si>
  <si>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</si>
  <si>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</si>
  <si>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</si>
  <si>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</si>
  <si>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</si>
  <si>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</si>
  <si>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</si>
  <si>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</si>
  <si>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</si>
  <si>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</si>
  <si>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</si>
  <si>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</si>
  <si>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</si>
  <si>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</si>
  <si>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</si>
  <si>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</si>
  <si>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</si>
  <si>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</si>
  <si>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</si>
  <si>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</si>
  <si>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</si>
  <si>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</si>
  <si>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</si>
  <si>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</si>
  <si>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</si>
  <si>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</si>
  <si>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</si>
  <si>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</si>
  <si>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</si>
  <si>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</si>
  <si>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</si>
  <si>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</si>
  <si>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</si>
  <si>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</si>
  <si>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</si>
  <si>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</si>
  <si>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</si>
  <si>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</si>
  <si>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</si>
  <si>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</si>
  <si>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</si>
  <si>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</si>
  <si>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</si>
  <si>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</si>
  <si>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</si>
  <si>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</si>
  <si>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</si>
  <si>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</si>
  <si>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</si>
  <si>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</si>
  <si>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</si>
  <si>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</si>
  <si>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</si>
  <si>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</si>
  <si>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</si>
  <si>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</si>
  <si>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</si>
  <si>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</si>
  <si>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</si>
  <si>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</si>
  <si>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</si>
  <si>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</si>
  <si>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</si>
  <si>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</si>
  <si>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</si>
  <si>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</si>
  <si>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</si>
  <si>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</si>
  <si>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</si>
  <si>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</si>
  <si>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</si>
  <si>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</si>
  <si>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</si>
  <si>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</si>
  <si>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</si>
  <si>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</si>
  <si>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</si>
  <si>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</si>
  <si>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</si>
  <si>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</si>
  <si>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</si>
  <si>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</si>
  <si>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</si>
  <si>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</si>
  <si>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</si>
  <si>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</si>
  <si>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</si>
  <si>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</si>
  <si>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</si>
  <si>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</si>
  <si>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</si>
  <si>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</si>
  <si>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</si>
  <si>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</si>
  <si>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</si>
  <si>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</si>
  <si>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</si>
  <si>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</si>
  <si>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</si>
  <si>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</si>
  <si>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</si>
  <si>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</si>
  <si>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</si>
  <si>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</si>
  <si>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</si>
  <si>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</si>
  <si>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</si>
  <si>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</si>
  <si>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</si>
  <si>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</si>
  <si>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</si>
  <si>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</si>
  <si>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</si>
  <si>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</si>
  <si>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</si>
  <si>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</si>
  <si>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</si>
  <si>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</si>
  <si>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</si>
  <si>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</si>
  <si>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</si>
  <si>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</si>
  <si>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</si>
  <si>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</si>
  <si>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</si>
  <si>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</si>
  <si>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</si>
  <si>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</si>
  <si>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</si>
  <si>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</si>
  <si>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</si>
  <si>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</si>
  <si>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</si>
  <si>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</si>
  <si>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</si>
  <si>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</si>
  <si>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</si>
  <si>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</si>
  <si>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</si>
  <si>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</si>
  <si>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</si>
  <si>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</si>
  <si>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</si>
  <si>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</si>
  <si>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</si>
  <si>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</si>
  <si>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</si>
  <si>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</si>
  <si>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</si>
  <si>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</si>
  <si>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</si>
  <si>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</si>
  <si>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</si>
  <si>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</si>
  <si>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</si>
  <si>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</si>
  <si>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</si>
  <si>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</si>
  <si>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</si>
  <si>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</si>
  <si>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</si>
  <si>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</si>
  <si>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</si>
  <si>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</si>
  <si>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</si>
  <si>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</si>
  <si>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</si>
  <si>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</si>
  <si>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</si>
  <si>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</si>
  <si>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</si>
  <si>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</si>
  <si>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</si>
  <si>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</si>
  <si>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</si>
  <si>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</si>
  <si>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</si>
  <si>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</si>
  <si>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</si>
  <si>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</si>
  <si>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</si>
  <si>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</si>
  <si>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</si>
  <si>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</si>
  <si>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</si>
  <si>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</si>
  <si>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</si>
  <si>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</si>
  <si>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</si>
  <si>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</si>
  <si>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</si>
  <si>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</si>
  <si>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</si>
  <si>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</si>
  <si>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</si>
  <si>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</si>
  <si>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</si>
  <si>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</si>
  <si>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</si>
  <si>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</si>
  <si>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</si>
  <si>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</si>
  <si>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</si>
  <si>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</si>
  <si>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</si>
  <si>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</si>
  <si>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</si>
  <si>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</si>
  <si>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</si>
  <si>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</si>
  <si>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</si>
  <si>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</si>
  <si>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</si>
  <si>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</si>
  <si>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</si>
  <si>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</si>
  <si>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</si>
  <si>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</si>
  <si>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</si>
  <si>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</si>
  <si>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</si>
  <si>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</si>
  <si>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</si>
  <si>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</si>
  <si>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</si>
  <si>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</si>
  <si>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</si>
  <si>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</si>
  <si>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</si>
  <si>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</si>
  <si>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</si>
  <si>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</si>
  <si>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</si>
  <si>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</si>
  <si>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</si>
  <si>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</si>
  <si>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</si>
  <si>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</si>
  <si>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</si>
  <si>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</si>
  <si>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</si>
  <si>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</si>
  <si>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</si>
  <si>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</si>
  <si>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</si>
  <si>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</si>
  <si>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</si>
  <si>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</si>
  <si>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</si>
  <si>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</si>
  <si>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</si>
  <si>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</si>
  <si>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</si>
  <si>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</si>
  <si>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</si>
  <si>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</si>
  <si>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</si>
  <si>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</si>
  <si>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</si>
  <si>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</si>
  <si>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</si>
  <si>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</si>
  <si>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</si>
  <si>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</si>
  <si>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</si>
  <si>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</si>
  <si>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</si>
  <si>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</si>
  <si>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</si>
  <si>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</si>
  <si>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</si>
  <si>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</si>
  <si>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</si>
  <si>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</si>
  <si>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</si>
  <si>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</si>
  <si>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</si>
  <si>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</si>
  <si>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</si>
  <si>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</si>
  <si>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</si>
  <si>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</si>
  <si>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</si>
  <si>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</si>
  <si>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</si>
  <si>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</si>
  <si>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</si>
  <si>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</si>
  <si>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</si>
  <si>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</si>
  <si>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</si>
  <si>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</si>
  <si>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</si>
  <si>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</si>
  <si>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</si>
  <si>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</si>
  <si>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</si>
  <si>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</si>
  <si>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</si>
  <si>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</si>
  <si>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</si>
  <si>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</si>
  <si>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</si>
  <si>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</si>
  <si>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</si>
  <si>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</si>
  <si>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</si>
  <si>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</si>
  <si>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</si>
  <si>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</si>
  <si>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</si>
  <si>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</si>
  <si>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</si>
  <si>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</si>
  <si>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</si>
  <si>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</si>
  <si>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</si>
  <si>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</si>
  <si>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</si>
  <si>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</si>
  <si>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</si>
  <si>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</si>
  <si>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</si>
  <si>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</si>
  <si>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</si>
  <si>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</si>
  <si>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</si>
  <si>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</si>
  <si>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</si>
  <si>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</si>
  <si>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</si>
  <si>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</si>
  <si>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</si>
  <si>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</si>
  <si>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</si>
  <si>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</si>
  <si>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</si>
  <si>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</si>
  <si>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</si>
  <si>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</si>
  <si>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</si>
  <si>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</si>
  <si>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</si>
  <si>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</si>
  <si>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</si>
  <si>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</si>
  <si>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</si>
  <si>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</si>
  <si>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</si>
  <si>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</si>
  <si>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</si>
  <si>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</si>
  <si>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</si>
  <si>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</si>
  <si>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</si>
  <si>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</si>
  <si>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</si>
  <si>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</si>
  <si>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</si>
  <si>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</si>
  <si>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</si>
  <si>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</si>
  <si>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</si>
  <si>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</si>
  <si>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</si>
  <si>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</si>
  <si>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</si>
  <si>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</si>
  <si>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</si>
  <si>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</si>
  <si>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</si>
  <si>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</si>
  <si>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</si>
  <si>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</si>
  <si>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</si>
  <si>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</si>
  <si>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</si>
  <si>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</si>
  <si>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</si>
  <si>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</si>
  <si>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</si>
  <si>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</si>
  <si>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</si>
  <si>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</si>
  <si>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</si>
  <si>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</si>
  <si>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</si>
  <si>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</si>
  <si>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</si>
  <si>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</si>
  <si>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</si>
  <si>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</si>
  <si>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</si>
  <si>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</si>
  <si>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</si>
  <si>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</si>
  <si>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</si>
  <si>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</si>
  <si>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</si>
  <si>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</si>
  <si>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</si>
  <si>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</si>
  <si>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</si>
  <si>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</si>
  <si>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</si>
  <si>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</si>
  <si>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</si>
  <si>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</si>
  <si>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</si>
  <si>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</si>
  <si>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</si>
  <si>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</si>
  <si>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</si>
  <si>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</si>
  <si>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</si>
  <si>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</si>
  <si>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</si>
  <si>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</si>
  <si>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</si>
  <si>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</si>
  <si>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</si>
  <si>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</si>
  <si>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</si>
  <si>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</si>
  <si>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</si>
  <si>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</si>
  <si>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</si>
  <si>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</si>
  <si>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</si>
  <si>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</si>
  <si>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</si>
  <si>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</si>
  <si>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</si>
  <si>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</si>
  <si>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</si>
  <si>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</si>
  <si>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</si>
  <si>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</si>
  <si>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</si>
  <si>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</si>
  <si>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</si>
  <si>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</si>
  <si>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</si>
  <si>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</si>
  <si>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</si>
  <si>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</si>
  <si>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</si>
  <si>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</si>
  <si>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</si>
  <si>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</si>
  <si>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</si>
  <si>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</si>
  <si>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</si>
  <si>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</si>
  <si>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</si>
  <si>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</si>
  <si>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</si>
  <si>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</si>
  <si>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</si>
  <si>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</si>
  <si>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</si>
  <si>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</si>
  <si>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</si>
  <si>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</si>
  <si>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</si>
  <si>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</si>
  <si>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</si>
  <si>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</si>
  <si>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</si>
  <si>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</si>
  <si>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</si>
  <si>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</si>
  <si>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</si>
  <si>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</si>
  <si>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</si>
  <si>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</si>
  <si>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</si>
  <si>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</si>
  <si>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</si>
  <si>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</si>
  <si>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</si>
  <si>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</si>
  <si>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</si>
  <si>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</si>
  <si>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</si>
  <si>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</si>
  <si>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</si>
  <si>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</si>
  <si>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</si>
  <si>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</si>
  <si>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</si>
  <si>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</si>
  <si>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</si>
  <si>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</si>
  <si>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</si>
  <si>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</si>
  <si>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</si>
  <si>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</si>
  <si>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</si>
  <si>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</si>
  <si>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</si>
  <si>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</si>
  <si>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</si>
  <si>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</si>
  <si>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</si>
  <si>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</si>
  <si>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</si>
  <si>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</si>
  <si>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</si>
  <si>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</si>
  <si>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</si>
  <si>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</si>
  <si>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</si>
  <si>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</si>
  <si>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</si>
  <si>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</si>
  <si>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</si>
  <si>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</si>
  <si>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</si>
  <si>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</si>
  <si>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</si>
  <si>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</si>
  <si>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</si>
  <si>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</si>
  <si>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</si>
  <si>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</si>
  <si>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</si>
  <si>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</si>
  <si>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</si>
  <si>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</si>
  <si>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</si>
  <si>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</si>
  <si>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</si>
  <si>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</si>
  <si>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</si>
  <si>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</si>
  <si>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</si>
  <si>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</si>
  <si>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</si>
  <si>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</si>
  <si>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</si>
  <si>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</si>
  <si>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</si>
  <si>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</si>
  <si>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</si>
  <si>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</si>
  <si>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</si>
  <si>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</si>
  <si>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</si>
  <si>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</si>
  <si>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</si>
  <si>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</si>
  <si>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</si>
  <si>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</si>
  <si>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</si>
  <si>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</si>
  <si>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</si>
  <si>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</si>
  <si>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</si>
  <si>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</si>
  <si>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</si>
  <si>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</si>
  <si>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</si>
  <si>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</si>
  <si>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</si>
  <si>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</si>
  <si>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</si>
  <si>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</si>
  <si>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</si>
  <si>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</si>
  <si>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</si>
  <si>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</si>
  <si>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</si>
  <si>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</si>
  <si>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</si>
  <si>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</si>
  <si>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</si>
  <si>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</si>
  <si>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</si>
  <si>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</si>
  <si>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</si>
  <si>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</si>
  <si>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</si>
  <si>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</si>
  <si>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</si>
  <si>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</si>
  <si>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</si>
  <si>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</si>
  <si>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</si>
  <si>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</si>
  <si>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</si>
  <si>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</si>
  <si>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</si>
  <si>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</si>
  <si>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</si>
  <si>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</si>
  <si>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</si>
  <si>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</si>
  <si>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</si>
  <si>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</si>
  <si>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</si>
  <si>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</si>
  <si>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</si>
  <si>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</si>
  <si>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</si>
  <si>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</si>
  <si>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</si>
  <si>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</si>
  <si>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</si>
  <si>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</si>
  <si>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</si>
  <si>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</si>
  <si>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</si>
  <si>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</si>
  <si>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</si>
  <si>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</si>
  <si>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</si>
  <si>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</si>
  <si>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</si>
  <si>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</si>
  <si>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</si>
  <si>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</si>
  <si>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</si>
  <si>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</si>
  <si>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</si>
  <si>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</si>
  <si>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</si>
  <si>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</si>
  <si>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</si>
  <si>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</si>
  <si>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</si>
  <si>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</si>
  <si>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</si>
  <si>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</si>
  <si>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</si>
  <si>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</si>
  <si>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</si>
  <si>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</si>
  <si>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</si>
  <si>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</si>
  <si>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</si>
  <si>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</si>
  <si>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</si>
  <si>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</si>
  <si>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</si>
  <si>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</si>
  <si>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</si>
  <si>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</si>
  <si>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</si>
  <si>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</si>
  <si>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</si>
  <si>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</si>
  <si>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</si>
  <si>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</si>
  <si>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</si>
  <si>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</si>
  <si>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</si>
  <si>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</si>
  <si>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</si>
  <si>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</si>
  <si>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</si>
  <si>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</si>
  <si>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</si>
  <si>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</si>
  <si>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</si>
  <si>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</si>
  <si>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</si>
  <si>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</si>
  <si>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</si>
  <si>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</si>
  <si>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</si>
  <si>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</si>
  <si>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</si>
  <si>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</si>
  <si>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</si>
  <si>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</si>
  <si>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</si>
  <si>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</si>
  <si>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</si>
  <si>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</si>
  <si>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</si>
  <si>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</si>
  <si>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</si>
  <si>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</si>
  <si>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</si>
  <si>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</si>
  <si>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</si>
  <si>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</si>
  <si>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</si>
  <si>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</si>
  <si>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</si>
  <si>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</si>
  <si>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</si>
  <si>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</si>
  <si>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</si>
  <si>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</si>
  <si>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</si>
  <si>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</si>
  <si>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</si>
  <si>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</si>
  <si>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</si>
  <si>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</si>
  <si>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</si>
  <si>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</si>
  <si>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</si>
  <si>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</si>
  <si>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</si>
  <si>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</si>
  <si>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</si>
  <si>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</si>
  <si>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</si>
  <si>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</si>
  <si>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</si>
  <si>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</si>
  <si>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</si>
  <si>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</si>
  <si>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</si>
  <si>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</si>
  <si>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</si>
  <si>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</si>
  <si>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</si>
  <si>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</si>
  <si>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</si>
  <si>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</si>
  <si>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</si>
  <si>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</si>
  <si>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</si>
  <si>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</si>
  <si>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</si>
  <si>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</si>
  <si>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</si>
  <si>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</si>
  <si>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</si>
  <si>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</si>
  <si>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</si>
  <si>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</si>
  <si>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</si>
  <si>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</si>
  <si>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</si>
  <si>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</si>
  <si>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</si>
  <si>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</si>
  <si>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</si>
  <si>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</si>
  <si>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</si>
  <si>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</si>
  <si>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</si>
  <si>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</si>
  <si>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</si>
  <si>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</si>
  <si>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</si>
  <si>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</si>
  <si>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</si>
  <si>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</si>
  <si>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</si>
  <si>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</si>
  <si>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</si>
  <si>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</si>
  <si>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</si>
  <si>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</si>
  <si>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</si>
  <si>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</si>
  <si>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</si>
  <si>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</si>
  <si>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</si>
  <si>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</si>
  <si>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</si>
  <si>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</si>
  <si>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</si>
  <si>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</si>
  <si>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</si>
  <si>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</si>
  <si>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</si>
  <si>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</si>
  <si>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</si>
  <si>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</si>
  <si>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</si>
  <si>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</si>
  <si>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</si>
  <si>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</si>
  <si>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</si>
  <si>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</si>
  <si>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</si>
  <si>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</si>
  <si>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</si>
  <si>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</si>
  <si>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</si>
  <si>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</si>
  <si>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</si>
  <si>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</si>
  <si>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</si>
  <si>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</si>
  <si>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</si>
  <si>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</si>
  <si>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</si>
  <si>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</si>
  <si>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</si>
  <si>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</si>
  <si>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</si>
  <si>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</si>
  <si>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</si>
  <si>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</si>
  <si>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</si>
  <si>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</si>
  <si>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</si>
  <si>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</si>
  <si>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</si>
  <si>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</si>
  <si>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</si>
  <si>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</si>
  <si>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</si>
  <si>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</si>
  <si>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</si>
  <si>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</si>
  <si>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</si>
  <si>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</si>
  <si>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</si>
  <si>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</si>
  <si>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</si>
  <si>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</si>
  <si>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</si>
  <si>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</si>
  <si>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</si>
  <si>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</si>
  <si>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</si>
  <si>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</si>
  <si>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</si>
  <si>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</si>
  <si>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</si>
  <si>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</si>
  <si>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</si>
  <si>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</si>
  <si>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</si>
  <si>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</si>
  <si>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</si>
  <si>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</si>
  <si>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</si>
  <si>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</si>
  <si>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</si>
  <si>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</si>
  <si>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</si>
  <si>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</si>
  <si>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</si>
  <si>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</si>
  <si>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</si>
  <si>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</si>
  <si>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</si>
  <si>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</si>
  <si>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</si>
  <si>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</si>
  <si>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</si>
  <si>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</si>
  <si>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</si>
  <si>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</si>
  <si>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</si>
  <si>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</si>
  <si>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</si>
  <si>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</si>
  <si>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</si>
  <si>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</si>
  <si>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</si>
  <si>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</si>
  <si>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</si>
  <si>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</si>
  <si>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</si>
  <si>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</si>
  <si>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</si>
  <si>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</si>
  <si>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</si>
  <si>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</si>
  <si>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</si>
  <si>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</si>
  <si>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</si>
  <si>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</si>
  <si>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</si>
  <si>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</si>
  <si>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</si>
  <si>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</si>
  <si>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</si>
  <si>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</si>
  <si>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</si>
  <si>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</si>
  <si>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</si>
  <si>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</si>
  <si>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</si>
  <si>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</si>
  <si>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</si>
  <si>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</si>
  <si>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</si>
  <si>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</si>
  <si>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</si>
  <si>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</si>
  <si>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</si>
  <si>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</si>
  <si>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</si>
  <si>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</si>
  <si>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</si>
  <si>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</si>
  <si>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</si>
  <si>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</si>
  <si>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</si>
  <si>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</si>
  <si>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</si>
  <si>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</si>
  <si>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</si>
  <si>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</si>
  <si>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</si>
  <si>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</si>
  <si>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</si>
  <si>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</si>
  <si>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</si>
  <si>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</si>
  <si>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</si>
  <si>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</si>
  <si>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</si>
  <si>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</si>
  <si>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</si>
  <si>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</si>
  <si>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</si>
  <si>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</si>
  <si>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</si>
  <si>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</si>
  <si>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</si>
  <si>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</si>
  <si>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</si>
  <si>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</si>
  <si>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</si>
  <si>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</si>
  <si>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</si>
  <si>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</si>
  <si>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</si>
  <si>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</si>
  <si>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</si>
  <si>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</si>
  <si>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</si>
  <si>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</si>
  <si>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</si>
  <si>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</si>
  <si>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</si>
  <si>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</si>
  <si>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</si>
  <si>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</si>
  <si>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</si>
  <si>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</si>
  <si>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</si>
  <si>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</si>
  <si>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</si>
  <si>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</si>
  <si>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</si>
  <si>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</si>
  <si>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</si>
  <si>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</si>
  <si>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</si>
  <si>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</si>
  <si>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</si>
  <si>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</si>
  <si>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</si>
  <si>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</si>
  <si>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</si>
  <si>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</si>
  <si>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</si>
  <si>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</si>
  <si>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</si>
  <si>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</si>
  <si>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</si>
  <si>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</si>
  <si>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</si>
  <si>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</si>
  <si>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</si>
  <si>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</si>
  <si>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</si>
  <si>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</si>
  <si>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</si>
  <si>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</si>
  <si>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</si>
  <si>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</si>
  <si>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</si>
  <si>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</si>
  <si>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</si>
  <si>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</si>
  <si>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</si>
  <si>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</si>
  <si>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</si>
  <si>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</si>
  <si>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</si>
  <si>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</si>
  <si>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</si>
  <si>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</si>
  <si>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</si>
  <si>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</si>
  <si>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</si>
  <si>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</si>
  <si>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</si>
  <si>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</si>
  <si>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</si>
  <si>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</si>
  <si>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</si>
  <si>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</si>
  <si>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</si>
  <si>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</si>
  <si>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</si>
  <si>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</si>
  <si>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</si>
  <si>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</si>
  <si>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</si>
  <si>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</si>
  <si>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</si>
  <si>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</si>
  <si>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</si>
  <si>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</si>
  <si>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</si>
  <si>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</si>
  <si>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</si>
  <si>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</si>
  <si>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</si>
  <si>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</si>
  <si>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</si>
  <si>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</si>
  <si>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</si>
  <si>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</si>
  <si>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</si>
  <si>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</si>
  <si>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</si>
  <si>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</si>
  <si>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</si>
  <si>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</si>
  <si>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</si>
  <si>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</si>
  <si>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</si>
  <si>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</si>
  <si>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</si>
  <si>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</si>
  <si>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</si>
  <si>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</si>
  <si>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</si>
  <si>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</si>
  <si>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</si>
  <si>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</si>
  <si>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</si>
  <si>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</si>
  <si>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</si>
  <si>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</si>
  <si>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</si>
  <si>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</si>
  <si>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</si>
  <si>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</si>
  <si>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</si>
  <si>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</si>
  <si>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</si>
  <si>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</si>
  <si>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</si>
  <si>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</si>
  <si>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</si>
  <si>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</si>
  <si>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</si>
  <si>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</si>
  <si>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</si>
  <si>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</si>
  <si>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</si>
  <si>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</si>
  <si>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</si>
  <si>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</si>
  <si>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</si>
  <si>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</si>
  <si>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</si>
  <si>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</si>
  <si>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</si>
  <si>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</si>
  <si>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</si>
  <si>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</si>
  <si>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</si>
  <si>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</si>
  <si>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</si>
  <si>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</si>
  <si>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</si>
  <si>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</si>
  <si>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</si>
  <si>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</si>
  <si>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</si>
  <si>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</si>
  <si>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</si>
  <si>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</si>
  <si>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</si>
  <si>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</si>
  <si>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</si>
  <si>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</si>
  <si>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</si>
  <si>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</si>
  <si>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</si>
  <si>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</si>
  <si>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</si>
  <si>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</si>
  <si>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</si>
  <si>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</si>
  <si>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</si>
  <si>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</si>
  <si>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</si>
  <si>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</si>
  <si>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</si>
  <si>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</si>
  <si>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</si>
  <si>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</si>
  <si>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</si>
  <si>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</si>
  <si>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</si>
  <si>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</si>
  <si>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</si>
  <si>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</si>
  <si>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</si>
  <si>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</si>
  <si>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</si>
  <si>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</si>
  <si>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</si>
  <si>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</si>
  <si>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</si>
  <si>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</si>
  <si>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</si>
  <si>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</si>
  <si>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</si>
  <si>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</si>
  <si>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</si>
  <si>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</si>
  <si>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</si>
  <si>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</si>
  <si>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</si>
  <si>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</si>
  <si>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</si>
  <si>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</si>
  <si>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</si>
  <si>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</si>
  <si>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</si>
  <si>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</si>
  <si>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</si>
  <si>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</si>
  <si>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</si>
  <si>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</si>
  <si>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</si>
  <si>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</si>
  <si>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</si>
  <si>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</si>
  <si>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</si>
  <si>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</si>
  <si>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</si>
  <si>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</si>
  <si>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</si>
  <si>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</si>
  <si>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</si>
  <si>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</si>
  <si>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</si>
  <si>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</si>
  <si>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</si>
  <si>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</si>
  <si>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</si>
  <si>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</si>
  <si>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</si>
  <si>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</si>
  <si>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</si>
  <si>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</si>
  <si>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</si>
  <si>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</si>
  <si>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</si>
  <si>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</si>
  <si>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</si>
  <si>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</si>
  <si>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</si>
  <si>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</si>
  <si>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</si>
  <si>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</si>
  <si>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</si>
  <si>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</si>
  <si>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</si>
  <si>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</si>
  <si>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</si>
  <si>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</si>
  <si>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</si>
  <si>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</si>
  <si>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</si>
  <si>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</si>
  <si>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</si>
  <si>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</si>
  <si>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</si>
  <si>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</si>
  <si>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</si>
  <si>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</si>
  <si>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</si>
  <si>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</si>
  <si>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</si>
  <si>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</si>
  <si>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</si>
  <si>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</si>
  <si>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</si>
  <si>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</si>
  <si>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</si>
  <si>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</si>
  <si>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</si>
  <si>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</si>
  <si>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</si>
  <si>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</si>
  <si>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</si>
  <si>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</si>
  <si>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</si>
  <si>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</si>
  <si>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</si>
  <si>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</si>
  <si>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</si>
  <si>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</si>
  <si>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</si>
  <si>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</si>
  <si>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</si>
  <si>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</si>
  <si>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</si>
  <si>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</si>
  <si>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</si>
  <si>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</si>
  <si>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</si>
  <si>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</si>
  <si>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</si>
  <si>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</si>
  <si>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</si>
  <si>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</si>
  <si>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</si>
  <si>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</si>
  <si>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</si>
  <si>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</si>
  <si>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</si>
  <si>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</si>
  <si>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</si>
  <si>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</si>
  <si>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</si>
  <si>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</si>
  <si>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</si>
  <si>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</si>
  <si>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</si>
  <si>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</si>
  <si>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</si>
  <si>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</si>
  <si>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</si>
  <si>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</si>
  <si>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</si>
  <si>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</si>
  <si>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</si>
  <si>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</si>
  <si>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</si>
  <si>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</si>
  <si>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</si>
  <si>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</si>
  <si>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</si>
  <si>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</si>
  <si>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</si>
  <si>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</si>
  <si>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</si>
  <si>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</si>
  <si>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</si>
  <si>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</si>
  <si>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</si>
  <si>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</si>
  <si>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</si>
  <si>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</si>
  <si>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</si>
  <si>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</si>
  <si>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</si>
  <si>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</si>
  <si>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</si>
  <si>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</si>
  <si>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</si>
  <si>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</si>
  <si>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</si>
  <si>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</si>
  <si>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</si>
  <si>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</si>
  <si>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</si>
  <si>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</si>
  <si>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</si>
  <si>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</si>
  <si>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</si>
  <si>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</si>
  <si>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</si>
  <si>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</si>
  <si>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</si>
  <si>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</si>
  <si>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</si>
  <si>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</si>
  <si>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</si>
  <si>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</si>
  <si>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</si>
  <si>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</si>
  <si>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</si>
  <si>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</si>
  <si>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</si>
  <si>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</si>
  <si>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</si>
  <si>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</si>
  <si>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</si>
  <si>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</si>
  <si>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</si>
  <si>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</si>
  <si>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</si>
  <si>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</si>
  <si>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</si>
  <si>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</si>
  <si>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</si>
  <si>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</si>
  <si>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</si>
  <si>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</si>
  <si>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</si>
  <si>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</si>
  <si>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</si>
  <si>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</si>
  <si>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</si>
  <si>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</si>
  <si>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</si>
  <si>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</si>
  <si>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</si>
  <si>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</si>
  <si>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</si>
  <si>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</si>
  <si>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</si>
  <si>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</si>
  <si>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</si>
  <si>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</si>
  <si>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</si>
  <si>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</si>
  <si>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</si>
  <si>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</si>
  <si>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</si>
  <si>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</si>
  <si>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</si>
  <si>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</si>
  <si>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</si>
  <si>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</si>
  <si>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</si>
  <si>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</si>
  <si>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</si>
  <si>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</si>
  <si>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</si>
  <si>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</si>
  <si>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</si>
  <si>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</si>
  <si>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</si>
  <si>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</si>
  <si>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</si>
  <si>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</si>
  <si>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</si>
  <si>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</si>
  <si>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</si>
  <si>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</si>
  <si>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</si>
  <si>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</si>
  <si>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</si>
  <si>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</si>
  <si>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</si>
  <si>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</si>
  <si>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</si>
  <si>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</si>
  <si>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</si>
  <si>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</si>
  <si>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</si>
  <si>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</si>
  <si>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</si>
  <si>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</si>
  <si>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</si>
  <si>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</si>
  <si>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</si>
  <si>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</si>
  <si>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</si>
  <si>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</si>
  <si>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</si>
  <si>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</si>
  <si>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</si>
  <si>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</si>
  <si>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</si>
  <si>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</si>
  <si>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</si>
  <si>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</si>
  <si>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</si>
  <si>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</si>
  <si>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</si>
  <si>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</si>
  <si>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</si>
  <si>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</si>
  <si>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</si>
  <si>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</si>
  <si>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</si>
  <si>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</si>
  <si>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</si>
  <si>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</si>
  <si>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</si>
  <si>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</si>
  <si>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</si>
  <si>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</si>
  <si>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</si>
  <si>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</si>
  <si>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</si>
  <si>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</si>
  <si>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</si>
  <si>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</si>
  <si>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</si>
  <si>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</si>
  <si>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</si>
  <si>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</si>
  <si>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</si>
  <si>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</si>
  <si>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</si>
  <si>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</si>
  <si>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</si>
  <si>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</si>
  <si>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</si>
  <si>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</si>
  <si>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</si>
  <si>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</si>
  <si>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</si>
  <si>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</si>
  <si>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</si>
  <si>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</si>
  <si>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</si>
  <si>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</si>
  <si>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</si>
  <si>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</si>
  <si>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</si>
  <si>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</si>
  <si>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</si>
  <si>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</si>
  <si>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</si>
  <si>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</si>
  <si>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</si>
  <si>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</si>
  <si>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</si>
  <si>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</si>
  <si>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</si>
  <si>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</si>
  <si>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</si>
  <si>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</si>
  <si>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</si>
  <si>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</si>
  <si>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</si>
  <si>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</si>
  <si>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</si>
  <si>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</si>
  <si>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</si>
  <si>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</si>
  <si>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</si>
  <si>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</si>
  <si>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</si>
  <si>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</si>
  <si>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</si>
  <si>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</si>
  <si>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</si>
  <si>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</si>
  <si>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</si>
  <si>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</si>
  <si>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</si>
  <si>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</si>
  <si>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</si>
  <si>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</si>
  <si>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</si>
  <si>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</si>
  <si>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</si>
  <si>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</si>
  <si>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</si>
  <si>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</si>
  <si>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</si>
  <si>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</si>
  <si>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</si>
  <si>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</si>
  <si>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</si>
  <si>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</si>
  <si>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</si>
  <si>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</si>
  <si>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</si>
  <si>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</si>
  <si>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</si>
  <si>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</si>
  <si>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</si>
  <si>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</si>
  <si>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</si>
  <si>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</si>
  <si>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</si>
  <si>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</si>
  <si>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</si>
  <si>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</si>
  <si>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</si>
  <si>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</si>
  <si>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</si>
  <si>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</si>
  <si>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</si>
  <si>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</si>
  <si>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</si>
  <si>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</si>
  <si>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</si>
  <si>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</si>
  <si>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</si>
  <si>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</si>
  <si>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</si>
  <si>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</si>
  <si>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</si>
  <si>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</si>
  <si>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</si>
  <si>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</si>
  <si>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</si>
  <si>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</si>
  <si>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</si>
  <si>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</si>
  <si>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</si>
  <si>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</si>
  <si>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</si>
  <si>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</si>
  <si>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</si>
  <si>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</si>
  <si>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</si>
  <si>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</si>
  <si>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</si>
  <si>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</si>
  <si>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</si>
  <si>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</si>
  <si>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</si>
  <si>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</si>
  <si>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</si>
  <si>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</si>
  <si>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</si>
  <si>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</si>
  <si>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</si>
  <si>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</si>
  <si>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</si>
  <si>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</si>
  <si>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</si>
  <si>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</si>
  <si>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</si>
  <si>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</si>
  <si>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</si>
  <si>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</si>
  <si>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</si>
  <si>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</si>
  <si>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</si>
  <si>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</si>
  <si>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</si>
  <si>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</si>
  <si>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</si>
  <si>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</si>
  <si>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</si>
  <si>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</si>
  <si>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</si>
  <si>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</si>
  <si>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</si>
  <si>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</si>
  <si>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</si>
  <si>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</si>
  <si>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</si>
  <si>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</si>
  <si>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</si>
  <si>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</si>
  <si>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</si>
  <si>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</si>
  <si>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</si>
  <si>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</si>
  <si>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</si>
  <si>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</si>
  <si>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</si>
  <si>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</si>
  <si>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</si>
  <si>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</si>
  <si>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</si>
  <si>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</si>
  <si>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</si>
  <si>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</si>
  <si>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</si>
  <si>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</si>
  <si>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</si>
  <si>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</si>
  <si>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</si>
  <si>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</si>
  <si>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</si>
  <si>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</si>
  <si>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</si>
  <si>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</si>
  <si>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</si>
  <si>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</si>
  <si>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</si>
  <si>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</si>
  <si>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</si>
  <si>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</si>
  <si>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</si>
  <si>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</si>
  <si>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</si>
  <si>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</si>
  <si>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</si>
  <si>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</si>
  <si>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</si>
  <si>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</si>
  <si>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</si>
  <si>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</si>
  <si>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</si>
  <si>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</si>
  <si>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</si>
  <si>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</si>
  <si>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</si>
  <si>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</si>
  <si>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</si>
  <si>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</si>
  <si>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</si>
  <si>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</si>
  <si>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</si>
  <si>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</si>
  <si>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</si>
  <si>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</si>
  <si>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</si>
  <si>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</si>
  <si>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</si>
  <si>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</si>
  <si>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</si>
  <si>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</si>
  <si>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</si>
  <si>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</si>
  <si>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</si>
  <si>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</si>
  <si>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</si>
  <si>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</si>
  <si>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</si>
  <si>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</si>
  <si>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</si>
  <si>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</si>
  <si>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</si>
  <si>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</si>
  <si>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</si>
  <si>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</si>
  <si>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</si>
  <si>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</si>
  <si>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</si>
  <si>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</si>
  <si>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</si>
  <si>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</si>
  <si>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</si>
  <si>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</si>
  <si>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</si>
  <si>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</si>
  <si>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</si>
  <si>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</si>
  <si>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</si>
  <si>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</si>
  <si>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</si>
  <si>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</si>
  <si>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</si>
  <si>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</si>
  <si>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</si>
  <si>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</si>
  <si>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</si>
  <si>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</si>
  <si>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</si>
  <si>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</si>
  <si>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</si>
  <si>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</si>
  <si>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</si>
  <si>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</si>
  <si>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</si>
  <si>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</si>
  <si>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</si>
  <si>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</si>
  <si>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</si>
  <si>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</si>
  <si>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</si>
  <si>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</si>
  <si>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</si>
  <si>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</si>
  <si>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</si>
  <si>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</si>
  <si>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</si>
  <si>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</si>
  <si>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</si>
  <si>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</si>
  <si>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</si>
  <si>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</si>
  <si>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</si>
  <si>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</si>
  <si>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</si>
  <si>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</si>
  <si>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</si>
  <si>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</si>
  <si>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</si>
  <si>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</si>
  <si>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</si>
  <si>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</si>
  <si>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</si>
  <si>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</si>
  <si>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</si>
  <si>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</si>
  <si>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</si>
  <si>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</si>
  <si>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</si>
  <si>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</si>
  <si>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</si>
  <si>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</si>
  <si>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</si>
  <si>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</si>
  <si>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</si>
  <si>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</si>
  <si>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</si>
  <si>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</si>
  <si>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</si>
  <si>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</si>
  <si>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</si>
  <si>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</si>
  <si>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</si>
  <si>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</si>
  <si>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</si>
  <si>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</si>
  <si>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</si>
  <si>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</si>
  <si>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</si>
  <si>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</si>
  <si>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</si>
  <si>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</si>
  <si>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</si>
  <si>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</si>
  <si>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</si>
  <si>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</si>
  <si>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</si>
  <si>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</si>
  <si>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</si>
  <si>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</si>
  <si>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</si>
  <si>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</si>
  <si>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</si>
  <si>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</si>
  <si>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</si>
  <si>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</si>
  <si>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</si>
  <si>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</si>
  <si>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</si>
  <si>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</si>
  <si>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</si>
  <si>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</si>
  <si>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</si>
  <si>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</si>
  <si>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</si>
  <si>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</si>
  <si>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</si>
  <si>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</si>
  <si>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</si>
  <si>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</si>
  <si>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</si>
  <si>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</si>
  <si>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</si>
  <si>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</si>
  <si>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</si>
  <si>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</si>
  <si>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</si>
  <si>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</si>
  <si>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</si>
  <si>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</si>
  <si>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</si>
  <si>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</si>
  <si>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</si>
  <si>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</si>
  <si>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</si>
  <si>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</si>
  <si>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</si>
  <si>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</si>
  <si>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</si>
  <si>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</si>
  <si>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</si>
  <si>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</si>
  <si>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</si>
  <si>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</si>
  <si>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</si>
  <si>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</si>
  <si>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</si>
  <si>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</si>
  <si>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</si>
  <si>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</si>
  <si>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</si>
  <si>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</si>
  <si>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</si>
  <si>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</si>
  <si>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</si>
  <si>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</si>
  <si>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</si>
  <si>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</si>
  <si>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</si>
  <si>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</si>
  <si>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</si>
  <si>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</si>
  <si>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</si>
  <si>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</si>
  <si>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</si>
  <si>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</si>
  <si>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</si>
  <si>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</si>
  <si>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</si>
  <si>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</si>
  <si>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</si>
  <si>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</si>
  <si>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</si>
  <si>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</si>
  <si>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</si>
  <si>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</si>
  <si>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</si>
  <si>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</si>
  <si>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</si>
  <si>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</si>
  <si>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</si>
  <si>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</si>
  <si>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</si>
  <si>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</si>
  <si>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</si>
  <si>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</si>
  <si>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</si>
  <si>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</si>
  <si>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</si>
  <si>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</si>
  <si>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</si>
  <si>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</si>
  <si>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</si>
  <si>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</si>
  <si>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</si>
  <si>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</si>
  <si>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</si>
  <si>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</si>
  <si>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</si>
  <si>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</si>
  <si>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</si>
  <si>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</si>
  <si>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</si>
  <si>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</si>
  <si>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</si>
  <si>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</si>
  <si>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</si>
  <si>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</si>
  <si>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</si>
  <si>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</si>
  <si>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</si>
  <si>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</si>
  <si>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</si>
  <si>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</si>
  <si>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</si>
  <si>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</si>
  <si>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</si>
  <si>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</si>
  <si>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</si>
  <si>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</si>
  <si>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</si>
  <si>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</si>
  <si>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</si>
  <si>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</si>
  <si>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</si>
  <si>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</si>
  <si>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</si>
  <si>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</si>
  <si>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</si>
  <si>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</si>
  <si>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</si>
  <si>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</si>
  <si>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</si>
  <si>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</si>
  <si>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</si>
  <si>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</si>
  <si>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</si>
  <si>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</si>
  <si>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</si>
  <si>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</si>
  <si>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</si>
  <si>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</si>
  <si>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</si>
  <si>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</si>
  <si>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</si>
  <si>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</si>
  <si>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</si>
  <si>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</si>
  <si>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</si>
  <si>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</si>
  <si>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</si>
  <si>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</si>
  <si>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</si>
  <si>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</si>
  <si>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</si>
  <si>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</si>
  <si>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</si>
  <si>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</si>
  <si>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</si>
  <si>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</si>
  <si>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</si>
  <si>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</si>
  <si>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</si>
  <si>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</si>
  <si>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</si>
  <si>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</si>
  <si>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</si>
  <si>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</si>
  <si>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</si>
  <si>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</si>
  <si>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</si>
  <si>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</si>
  <si>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</si>
  <si>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</si>
  <si>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</si>
  <si>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</si>
  <si>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</si>
  <si>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</si>
  <si>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</si>
  <si>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</si>
  <si>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</si>
  <si>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</si>
  <si>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</si>
  <si>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</si>
  <si>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</si>
  <si>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</si>
  <si>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</si>
  <si>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</si>
  <si>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</si>
  <si>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</si>
  <si>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</si>
  <si>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</si>
  <si>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</si>
  <si>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</si>
  <si>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</si>
  <si>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</si>
  <si>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</si>
  <si>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</si>
  <si>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</si>
  <si>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</si>
  <si>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</si>
  <si>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</si>
  <si>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</si>
  <si>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</si>
  <si>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</si>
  <si>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</si>
  <si>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</si>
  <si>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</si>
  <si>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</si>
  <si>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</si>
  <si>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</si>
  <si>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</si>
  <si>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</si>
  <si>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</si>
  <si>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</si>
  <si>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</si>
  <si>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</si>
  <si>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</si>
  <si>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</si>
  <si>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</si>
  <si>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</si>
  <si>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</si>
  <si>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</si>
  <si>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</si>
  <si>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</si>
  <si>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</si>
  <si>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</si>
  <si>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</si>
  <si>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</si>
  <si>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</si>
  <si>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</si>
  <si>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</si>
  <si>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</si>
  <si>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</si>
  <si>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</si>
  <si>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</si>
  <si>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</si>
  <si>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</si>
  <si>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</si>
  <si>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</si>
  <si>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</si>
  <si>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</si>
  <si>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</si>
  <si>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</si>
  <si>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</si>
  <si>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</si>
  <si>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</si>
  <si>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</si>
  <si>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</si>
  <si>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</si>
  <si>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</si>
  <si>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</si>
  <si>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</si>
  <si>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</si>
  <si>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</si>
  <si>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</si>
  <si>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</si>
  <si>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</si>
  <si>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</si>
  <si>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</si>
  <si>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</si>
  <si>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</si>
  <si>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</si>
  <si>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</si>
  <si>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</si>
  <si>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</si>
  <si>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</si>
  <si>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</si>
  <si>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</si>
  <si>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</si>
  <si>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</si>
  <si>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</si>
  <si>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</si>
  <si>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</si>
  <si>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</si>
  <si>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</si>
  <si>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</si>
  <si>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</si>
  <si>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</si>
  <si>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</si>
  <si>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</si>
  <si>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</si>
  <si>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</si>
  <si>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</si>
  <si>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</si>
  <si>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</si>
  <si>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</si>
  <si>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</si>
  <si>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</si>
  <si>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</si>
  <si>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</si>
  <si>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</si>
  <si>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</si>
  <si>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</si>
  <si>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</si>
  <si>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</si>
  <si>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</si>
  <si>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</si>
  <si>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</si>
  <si>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</si>
  <si>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</si>
  <si>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</si>
  <si>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</si>
  <si>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</si>
  <si>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</si>
  <si>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</si>
  <si>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</si>
  <si>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</si>
  <si>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</si>
  <si>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</si>
  <si>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</si>
  <si>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</si>
  <si>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</si>
  <si>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</si>
  <si>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</si>
  <si>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</si>
  <si>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</si>
  <si>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</si>
  <si>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</si>
  <si>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</si>
  <si>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</si>
  <si>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</si>
  <si>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</si>
  <si>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</si>
  <si>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</si>
  <si>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</si>
  <si>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</si>
  <si>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</si>
  <si>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</si>
  <si>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</si>
  <si>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</si>
  <si>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</si>
  <si>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</si>
  <si>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</si>
  <si>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</si>
  <si>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</si>
  <si>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</si>
  <si>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</si>
  <si>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</si>
  <si>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</si>
  <si>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</si>
  <si>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</si>
  <si>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</si>
  <si>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</si>
  <si>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</si>
  <si>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</si>
  <si>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</si>
  <si>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</si>
  <si>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</si>
  <si>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</si>
  <si>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</si>
  <si>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</si>
  <si>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</si>
  <si>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</si>
  <si>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</si>
  <si>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</si>
  <si>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</si>
  <si>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</si>
  <si>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</si>
  <si>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</si>
  <si>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</si>
  <si>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</si>
  <si>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</si>
  <si>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</si>
  <si>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</si>
  <si>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</si>
  <si>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</si>
  <si>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</si>
  <si>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</si>
  <si>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</si>
  <si>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</si>
  <si>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</si>
  <si>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</si>
  <si>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</si>
  <si>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</si>
  <si>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</si>
  <si>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</si>
  <si>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</si>
  <si>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</si>
  <si>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</si>
  <si>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</si>
  <si>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</si>
  <si>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</si>
  <si>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</si>
  <si>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</si>
  <si>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</si>
  <si>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</si>
  <si>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</si>
  <si>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</si>
  <si>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</si>
  <si>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</si>
  <si>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</si>
  <si>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</si>
  <si>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</si>
  <si>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</si>
  <si>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</si>
  <si>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</si>
  <si>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</si>
  <si>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</si>
  <si>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</si>
  <si>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</si>
  <si>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</si>
  <si>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</si>
  <si>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</si>
  <si>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</si>
  <si>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</si>
  <si>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</si>
  <si>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</si>
  <si>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</si>
  <si>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</si>
  <si>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</si>
  <si>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</si>
  <si>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</si>
  <si>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</si>
  <si>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</si>
  <si>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</si>
  <si>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</si>
  <si>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</si>
  <si>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</si>
  <si>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</si>
  <si>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</si>
  <si>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</si>
  <si>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</si>
  <si>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</si>
  <si>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</si>
  <si>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</si>
  <si>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</si>
  <si>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</si>
  <si>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</si>
  <si>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</si>
  <si>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</si>
  <si>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</si>
  <si>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</si>
  <si>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</si>
  <si>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</si>
  <si>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</si>
  <si>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</si>
  <si>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</si>
  <si>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</si>
  <si>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</si>
  <si>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</si>
  <si>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</si>
  <si>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</si>
  <si>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</si>
  <si>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</si>
  <si>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</si>
  <si>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</si>
  <si>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</si>
  <si>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</si>
  <si>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</si>
  <si>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</si>
  <si>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</si>
  <si>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</si>
  <si>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</si>
  <si>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</si>
  <si>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</si>
  <si>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</si>
  <si>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</si>
  <si>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</si>
  <si>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</si>
  <si>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</si>
  <si>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</si>
  <si>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</si>
  <si>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</si>
  <si>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</si>
  <si>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</si>
  <si>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</si>
  <si>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</si>
  <si>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</si>
  <si>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</si>
  <si>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</si>
  <si>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</si>
  <si>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</si>
  <si>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</si>
  <si>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</si>
  <si>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</si>
  <si>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</si>
  <si>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</si>
  <si>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</si>
  <si>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</si>
  <si>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</si>
  <si>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</si>
  <si>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</si>
  <si>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</si>
  <si>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</si>
  <si>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</si>
  <si>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</si>
  <si>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</si>
  <si>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</si>
  <si>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</si>
  <si>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</si>
  <si>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</si>
  <si>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</si>
  <si>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</si>
  <si>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</si>
  <si>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</si>
  <si>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</si>
  <si>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</si>
  <si>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</si>
  <si>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</si>
  <si>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</si>
  <si>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</si>
  <si>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</si>
  <si>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</si>
  <si>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</si>
  <si>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</si>
  <si>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</si>
  <si>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</si>
  <si>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</si>
  <si>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</si>
  <si>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</si>
  <si>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</si>
  <si>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</si>
  <si>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</si>
  <si>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</si>
  <si>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</si>
  <si>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</si>
  <si>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</si>
  <si>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</si>
  <si>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</si>
  <si>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</si>
  <si>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</si>
  <si>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</si>
  <si>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</si>
  <si>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</si>
  <si>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</si>
  <si>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</si>
  <si>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</si>
  <si>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</si>
  <si>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</si>
  <si>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</si>
  <si>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</si>
  <si>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</si>
  <si>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</si>
  <si>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</si>
  <si>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</si>
  <si>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</si>
  <si>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</si>
  <si>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</si>
  <si>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</si>
  <si>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</si>
  <si>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</si>
  <si>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</si>
  <si>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</si>
  <si>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</si>
  <si>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</si>
  <si>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</si>
  <si>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</si>
  <si>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</si>
  <si>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</si>
  <si>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</si>
  <si>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</si>
  <si>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</si>
  <si>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</si>
  <si>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</si>
  <si>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</si>
  <si>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</si>
  <si>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</si>
  <si>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</si>
  <si>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</si>
  <si>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</si>
  <si>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</si>
  <si>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</si>
  <si>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</si>
  <si>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</si>
  <si>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</si>
  <si>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</si>
  <si>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</si>
  <si>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</si>
  <si>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</si>
  <si>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</si>
  <si>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</si>
  <si>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</si>
  <si>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</si>
  <si>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</si>
  <si>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</si>
  <si>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</si>
  <si>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</si>
  <si>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</si>
  <si>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</si>
  <si>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</si>
  <si>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</si>
  <si>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</si>
  <si>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</si>
  <si>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</si>
  <si>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</si>
  <si>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</si>
  <si>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</si>
  <si>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</si>
  <si>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</si>
  <si>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</si>
  <si>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</si>
  <si>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</si>
  <si>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</si>
  <si>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</si>
  <si>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</si>
  <si>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</si>
  <si>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</si>
  <si>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</si>
  <si>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</si>
  <si>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</si>
  <si>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</si>
  <si>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</si>
  <si>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</si>
  <si>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</si>
  <si>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</si>
  <si>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</si>
  <si>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</si>
  <si>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</si>
  <si>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</si>
  <si>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</si>
  <si>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</si>
  <si>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</si>
  <si>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</si>
  <si>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</si>
  <si>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</si>
  <si>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</si>
  <si>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</si>
  <si>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</si>
  <si>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</si>
  <si>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</si>
  <si>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</si>
  <si>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</si>
  <si>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</si>
  <si>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</si>
  <si>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</si>
  <si>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</si>
  <si>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</si>
  <si>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</si>
  <si>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</si>
  <si>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</si>
  <si>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</si>
  <si>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</si>
  <si>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</si>
  <si>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</si>
  <si>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</si>
  <si>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</si>
  <si>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</si>
  <si>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</si>
  <si>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</si>
  <si>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</si>
  <si>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</si>
  <si>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</si>
  <si>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</si>
  <si>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</si>
  <si>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</si>
  <si>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</si>
  <si>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</si>
  <si>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</si>
  <si>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</si>
  <si>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</si>
  <si>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</si>
  <si>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</si>
  <si>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</si>
  <si>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</si>
  <si>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</si>
  <si>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</si>
  <si>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</si>
  <si>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</si>
  <si>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</si>
  <si>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</si>
  <si>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</si>
  <si>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</si>
  <si>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</si>
  <si>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</si>
  <si>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</si>
  <si>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</si>
  <si>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</si>
  <si>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</si>
  <si>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</si>
  <si>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</si>
  <si>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</si>
  <si>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</si>
  <si>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</si>
  <si>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</si>
  <si>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</si>
  <si>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</si>
  <si>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</si>
  <si>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</si>
  <si>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</si>
  <si>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</si>
  <si>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</si>
  <si>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</si>
  <si>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</si>
  <si>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</si>
  <si>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</si>
  <si>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</si>
  <si>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</si>
  <si>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</si>
  <si>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</si>
  <si>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</si>
  <si>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</si>
  <si>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</si>
  <si>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</si>
  <si>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</si>
  <si>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</si>
  <si>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</si>
  <si>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</si>
  <si>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</si>
  <si>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</si>
  <si>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</si>
  <si>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</si>
  <si>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</si>
  <si>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</si>
  <si>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</si>
  <si>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</si>
  <si>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</si>
  <si>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</si>
  <si>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</si>
  <si>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</si>
  <si>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</si>
  <si>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</si>
  <si>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</si>
  <si>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</si>
  <si>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</si>
  <si>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</si>
  <si>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</si>
  <si>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</si>
  <si>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</si>
  <si>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</si>
  <si>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</si>
  <si>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</si>
  <si>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</si>
  <si>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</si>
  <si>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</si>
  <si>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</si>
  <si>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</si>
  <si>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</si>
  <si>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</si>
  <si>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</si>
  <si>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</si>
  <si>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</si>
  <si>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</si>
  <si>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</si>
  <si>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</si>
  <si>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</si>
  <si>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</si>
  <si>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</si>
  <si>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</si>
  <si>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</si>
  <si>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</si>
  <si>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</si>
  <si>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</si>
  <si>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</si>
  <si>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</si>
  <si>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</si>
  <si>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</si>
  <si>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</si>
  <si>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</si>
  <si>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</si>
  <si>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</si>
  <si>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</si>
  <si>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</si>
  <si>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</si>
  <si>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</si>
  <si>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</si>
  <si>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</si>
  <si>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</si>
  <si>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</si>
  <si>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</si>
  <si>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</si>
  <si>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</si>
  <si>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</si>
  <si>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</si>
  <si>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</si>
  <si>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</si>
  <si>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</si>
  <si>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</si>
  <si>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</si>
  <si>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</si>
  <si>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</si>
  <si>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</si>
  <si>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</si>
  <si>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</si>
  <si>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</si>
  <si>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</si>
  <si>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</si>
  <si>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</si>
  <si>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</si>
  <si>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</si>
  <si>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</si>
  <si>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</si>
  <si>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</si>
  <si>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</si>
  <si>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</si>
  <si>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</si>
  <si>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</si>
  <si>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</si>
  <si>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</si>
  <si>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</si>
  <si>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</si>
  <si>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</si>
  <si>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</si>
  <si>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</si>
  <si>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</si>
  <si>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</si>
  <si>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</si>
  <si>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</si>
  <si>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</si>
  <si>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</si>
  <si>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</si>
  <si>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</si>
  <si>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</si>
  <si>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</si>
  <si>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</si>
  <si>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</si>
  <si>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</si>
  <si>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</si>
  <si>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</si>
  <si>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</si>
  <si>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</si>
  <si>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</si>
  <si>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</si>
  <si>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</si>
  <si>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</si>
  <si>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</si>
  <si>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</si>
  <si>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</si>
  <si>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</si>
  <si>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</si>
  <si>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</si>
  <si>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</si>
  <si>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</si>
  <si>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</si>
  <si>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</si>
  <si>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</si>
  <si>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</si>
  <si>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</si>
  <si>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</si>
  <si>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</si>
  <si>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</si>
  <si>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</si>
  <si>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</si>
  <si>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</si>
  <si>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</si>
  <si>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</si>
  <si>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</si>
  <si>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</si>
  <si>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</si>
  <si>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</si>
  <si>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</si>
  <si>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</si>
  <si>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</si>
  <si>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</si>
  <si>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</si>
  <si>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</si>
  <si>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</si>
  <si>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</si>
  <si>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</si>
  <si>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</si>
  <si>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</si>
  <si>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</si>
  <si>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</si>
  <si>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</si>
  <si>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</si>
  <si>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</si>
  <si>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</si>
  <si>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</si>
  <si>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</si>
  <si>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</si>
  <si>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</si>
  <si>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</si>
  <si>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</si>
  <si>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</si>
  <si>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</si>
  <si>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</si>
  <si>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</si>
  <si>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</si>
  <si>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</si>
  <si>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</si>
  <si>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</si>
  <si>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</si>
  <si>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</si>
  <si>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</si>
  <si>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</si>
  <si>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</si>
  <si>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</si>
  <si>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</si>
  <si>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</si>
  <si>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</si>
  <si>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</si>
  <si>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</si>
  <si>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</si>
  <si>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</si>
  <si>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</si>
  <si>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</si>
  <si>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</si>
  <si>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</si>
  <si>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</si>
  <si>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</si>
  <si>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</si>
  <si>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</si>
  <si>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</si>
  <si>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</si>
  <si>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</si>
  <si>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</si>
  <si>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</si>
  <si>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</si>
  <si>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</si>
  <si>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</si>
  <si>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</si>
  <si>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</si>
  <si>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</si>
  <si>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</si>
  <si>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</si>
  <si>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</si>
  <si>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</si>
  <si>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</si>
  <si>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</si>
  <si>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</si>
  <si>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</si>
  <si>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</si>
  <si>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</si>
  <si>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</si>
  <si>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</si>
  <si>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</si>
  <si>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</si>
  <si>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</si>
  <si>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</si>
  <si>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</si>
  <si>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</si>
  <si>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</si>
  <si>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</si>
  <si>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</si>
  <si>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</si>
  <si>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</si>
  <si>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</si>
  <si>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</si>
  <si>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</si>
  <si>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</si>
  <si>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</si>
  <si>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</si>
  <si>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</si>
  <si>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</si>
  <si>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</si>
  <si>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</si>
  <si>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</si>
  <si>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</si>
  <si>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</si>
  <si>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</si>
  <si>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</si>
  <si>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</si>
  <si>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</si>
  <si>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</si>
  <si>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</si>
  <si>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</si>
  <si>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</si>
  <si>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</si>
  <si>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</si>
  <si>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</si>
  <si>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</si>
  <si>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</si>
  <si>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</si>
  <si>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</si>
  <si>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</si>
  <si>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</si>
  <si>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</si>
  <si>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</si>
  <si>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</si>
  <si>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</si>
  <si>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</si>
  <si>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</si>
  <si>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</si>
  <si>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</si>
  <si>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</si>
  <si>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</si>
  <si>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</si>
  <si>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</si>
  <si>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</si>
  <si>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</si>
  <si>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</si>
  <si>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</si>
  <si>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</si>
  <si>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</si>
  <si>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</si>
  <si>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</si>
  <si>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</si>
  <si>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</si>
  <si>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</si>
  <si>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</si>
  <si>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</si>
  <si>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</si>
  <si>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</si>
  <si>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</si>
  <si>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</si>
  <si>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</si>
  <si>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</si>
  <si>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</si>
  <si>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</si>
  <si>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</si>
  <si>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</si>
  <si>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</si>
  <si>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</si>
  <si>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</si>
  <si>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</si>
  <si>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</si>
  <si>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</si>
  <si>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</si>
  <si>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</si>
  <si>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</si>
  <si>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</si>
  <si>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</si>
  <si>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</si>
  <si>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</si>
  <si>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</si>
  <si>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</si>
  <si>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</si>
  <si>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</si>
  <si>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</si>
  <si>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</si>
  <si>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</si>
  <si>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</si>
  <si>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</si>
  <si>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</si>
  <si>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</si>
  <si>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</si>
  <si>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</si>
  <si>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</si>
  <si>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</si>
  <si>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</si>
  <si>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</si>
  <si>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</si>
  <si>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</si>
  <si>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</si>
  <si>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</si>
  <si>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</si>
  <si>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</si>
  <si>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</si>
  <si>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</si>
  <si>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</si>
  <si>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</si>
  <si>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</si>
  <si>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</si>
  <si>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</si>
  <si>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</si>
  <si>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</si>
  <si>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</si>
  <si>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</si>
  <si>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</si>
  <si>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</si>
  <si>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</si>
  <si>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</si>
  <si>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</si>
  <si>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</si>
  <si>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</si>
  <si>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</si>
  <si>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</si>
  <si>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</si>
  <si>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</si>
  <si>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</si>
  <si>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</si>
  <si>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</si>
  <si>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</si>
  <si>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</si>
  <si>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</si>
  <si>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</si>
  <si>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</si>
  <si>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</si>
  <si>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</si>
  <si>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</si>
  <si>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</si>
  <si>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</si>
  <si>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</si>
  <si>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</si>
  <si>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</si>
  <si>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</si>
  <si>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</si>
  <si>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</si>
  <si>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</si>
  <si>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</si>
  <si>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</si>
  <si>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</si>
  <si>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</si>
  <si>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</si>
  <si>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</si>
  <si>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</si>
  <si>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</si>
  <si>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</si>
  <si>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</si>
  <si>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</si>
  <si>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</si>
  <si>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</si>
  <si>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</si>
  <si>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</si>
  <si>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</si>
  <si>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</si>
  <si>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</si>
  <si>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</si>
  <si>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</si>
  <si>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</si>
  <si>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</si>
  <si>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</si>
  <si>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</si>
  <si>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</si>
  <si>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</si>
  <si>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</si>
  <si>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</si>
  <si>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</si>
  <si>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</si>
  <si>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</si>
  <si>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</si>
  <si>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</si>
  <si>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</si>
  <si>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</si>
  <si>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</si>
  <si>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</si>
  <si>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</si>
  <si>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</si>
  <si>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</si>
  <si>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</si>
  <si>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</si>
  <si>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</si>
  <si>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</si>
  <si>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</si>
  <si>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</si>
  <si>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</si>
  <si>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</si>
  <si>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</si>
  <si>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</si>
  <si>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</si>
  <si>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</si>
  <si>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</si>
  <si>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</si>
  <si>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</si>
  <si>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</si>
  <si>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</si>
  <si>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</si>
  <si>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</si>
  <si>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</si>
  <si>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</si>
  <si>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</si>
  <si>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</si>
  <si>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</si>
  <si>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</si>
  <si>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</si>
  <si>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</si>
  <si>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</si>
  <si>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</si>
  <si>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</si>
  <si>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</si>
  <si>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</si>
  <si>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</si>
  <si>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</si>
  <si>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</si>
  <si>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</si>
  <si>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</si>
  <si>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</si>
  <si>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</si>
  <si>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</si>
  <si>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</si>
  <si>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</si>
  <si>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</si>
  <si>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</si>
  <si>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</si>
  <si>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</si>
  <si>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</si>
  <si>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</si>
  <si>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</si>
  <si>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</si>
  <si>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</si>
  <si>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</si>
  <si>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</si>
  <si>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</si>
  <si>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</si>
  <si>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</si>
  <si>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</si>
  <si>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</si>
  <si>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</si>
  <si>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</si>
  <si>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</si>
  <si>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</si>
  <si>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</si>
  <si>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</si>
  <si>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</si>
  <si>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</si>
  <si>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</si>
  <si>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</si>
  <si>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</si>
  <si>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</si>
  <si>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</si>
  <si>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</si>
  <si>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</si>
  <si>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</si>
  <si>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</si>
  <si>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</si>
  <si>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</si>
  <si>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</si>
  <si>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</si>
  <si>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</si>
  <si>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</si>
  <si>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</si>
  <si>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</si>
  <si>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</si>
  <si>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</si>
  <si>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</si>
  <si>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</si>
  <si>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</si>
  <si>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</si>
  <si>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</si>
  <si>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</si>
  <si>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</si>
  <si>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</si>
  <si>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</si>
  <si>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</si>
  <si>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</si>
  <si>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</si>
  <si>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</si>
  <si>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</si>
  <si>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</si>
  <si>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</si>
  <si>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</si>
  <si>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</si>
  <si>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</si>
  <si>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</si>
  <si>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</si>
  <si>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</si>
  <si>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</si>
  <si>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</si>
  <si>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</si>
  <si>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</si>
  <si>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</si>
  <si>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</si>
  <si>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</si>
  <si>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</si>
  <si>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</si>
  <si>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</si>
  <si>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</si>
  <si>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</si>
  <si>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</si>
  <si>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</si>
  <si>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</si>
  <si>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</si>
  <si>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</si>
  <si>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</si>
  <si>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</si>
  <si>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</si>
  <si>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</si>
  <si>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</si>
  <si>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</si>
  <si>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</si>
  <si>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</si>
  <si>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</si>
  <si>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</si>
  <si>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</si>
  <si>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</si>
  <si>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</si>
  <si>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</si>
  <si>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</si>
  <si>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</si>
  <si>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</si>
  <si>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</si>
  <si>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</si>
  <si>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</si>
  <si>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</si>
  <si>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</si>
  <si>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</si>
  <si>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</si>
  <si>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</si>
  <si>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</si>
  <si>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</si>
  <si>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</si>
  <si>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</si>
  <si>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</si>
  <si>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</si>
  <si>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</si>
  <si>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</si>
  <si>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</si>
  <si>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</si>
  <si>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</si>
  <si>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</si>
  <si>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</si>
  <si>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</si>
  <si>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</si>
  <si>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</si>
  <si>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</si>
  <si>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</si>
  <si>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</si>
  <si>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</si>
  <si>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</si>
  <si>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</si>
  <si>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</si>
  <si>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</si>
  <si>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</si>
  <si>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</si>
  <si>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</si>
  <si>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</si>
  <si>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</si>
  <si>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</si>
  <si>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</si>
  <si>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</si>
  <si>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</si>
  <si>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</si>
  <si>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</si>
  <si>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</si>
  <si>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</si>
  <si>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</si>
  <si>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</si>
  <si>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</si>
  <si>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</si>
  <si>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</si>
  <si>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</si>
  <si>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</si>
  <si>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</si>
  <si>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</si>
  <si>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</si>
  <si>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</si>
  <si>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</si>
  <si>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</si>
  <si>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</si>
  <si>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</si>
  <si>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</si>
  <si>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</si>
  <si>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</si>
  <si>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</si>
  <si>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</si>
  <si>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</si>
  <si>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</si>
  <si>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</si>
  <si>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</si>
  <si>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</si>
  <si>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</si>
  <si>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</si>
  <si>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</si>
  <si>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</si>
  <si>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</si>
  <si>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</si>
  <si>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</si>
  <si>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</si>
  <si>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</si>
  <si>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</si>
  <si>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</si>
  <si>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</si>
  <si>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</si>
  <si>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</si>
  <si>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</si>
  <si>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</si>
  <si>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</si>
  <si>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</si>
  <si>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</si>
  <si>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</si>
  <si>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</si>
  <si>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</si>
  <si>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</si>
  <si>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</si>
  <si>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</si>
  <si>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</si>
  <si>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</si>
  <si>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</si>
  <si>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</si>
  <si>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</si>
  <si>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</si>
  <si>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</si>
  <si>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</si>
  <si>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</si>
  <si>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</si>
  <si>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</si>
  <si>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</si>
  <si>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</si>
  <si>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</si>
  <si>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</si>
  <si>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</si>
  <si>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</si>
  <si>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</si>
  <si>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</si>
  <si>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</si>
  <si>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</si>
  <si>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</si>
  <si>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</si>
  <si>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</si>
  <si>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</si>
  <si>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</si>
  <si>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</si>
  <si>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</si>
  <si>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</si>
  <si>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</si>
  <si>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</si>
  <si>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</si>
  <si>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</si>
  <si>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</si>
  <si>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</si>
  <si>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</si>
  <si>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</si>
  <si>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</si>
  <si>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</si>
  <si>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</si>
  <si>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</si>
  <si>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</si>
  <si>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</si>
  <si>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</si>
  <si>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</si>
  <si>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</si>
  <si>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</si>
  <si>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</si>
  <si>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</si>
  <si>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</si>
  <si>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</si>
  <si>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</si>
  <si>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</si>
  <si>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</si>
  <si>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</si>
  <si>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</si>
  <si>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</si>
  <si>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</si>
  <si>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</si>
  <si>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</si>
  <si>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</si>
  <si>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</si>
  <si>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</si>
  <si>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</si>
  <si>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</si>
  <si>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</si>
  <si>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</si>
  <si>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</si>
  <si>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</si>
  <si>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</si>
  <si>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</si>
  <si>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</si>
  <si>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</si>
  <si>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</si>
  <si>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</si>
  <si>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</si>
  <si>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</si>
  <si>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</si>
  <si>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</si>
  <si>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</si>
  <si>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</si>
  <si>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</si>
  <si>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</si>
  <si>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</si>
  <si>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</si>
  <si>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</si>
  <si>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</si>
  <si>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</si>
  <si>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</si>
  <si>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</si>
  <si>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</si>
  <si>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</si>
  <si>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</si>
  <si>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</si>
  <si>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</si>
  <si>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</si>
  <si>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</si>
  <si>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</si>
  <si>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</si>
  <si>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</si>
  <si>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</si>
  <si>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</si>
  <si>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</si>
  <si>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</si>
  <si>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</si>
  <si>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</si>
  <si>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</si>
  <si>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</si>
  <si>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</si>
  <si>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</si>
  <si>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</si>
  <si>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</si>
  <si>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</si>
  <si>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</si>
  <si>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</si>
  <si>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</si>
  <si>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</si>
  <si>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</si>
  <si>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</si>
  <si>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</si>
  <si>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</si>
  <si>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</si>
  <si>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</si>
  <si>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</si>
  <si>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</si>
  <si>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</si>
  <si>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</si>
  <si>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</si>
  <si>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</si>
  <si>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</si>
  <si>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</si>
  <si>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</si>
  <si>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</si>
  <si>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</si>
  <si>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</si>
  <si>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</si>
  <si>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</si>
  <si>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</si>
  <si>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</si>
  <si>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</si>
  <si>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</si>
  <si>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</si>
  <si>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</si>
  <si>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</si>
  <si>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</si>
  <si>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</si>
  <si>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</si>
  <si>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</si>
  <si>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</si>
  <si>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</si>
  <si>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</si>
  <si>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</si>
  <si>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</si>
  <si>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</si>
  <si>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</si>
  <si>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</si>
  <si>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</si>
  <si>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</si>
  <si>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</si>
  <si>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</si>
  <si>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</si>
  <si>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</si>
  <si>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</si>
  <si>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</si>
  <si>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</si>
  <si>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</si>
  <si>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</si>
  <si>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</si>
  <si>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</si>
  <si>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</si>
  <si>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</si>
  <si>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</si>
  <si>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</si>
  <si>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</si>
  <si>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</si>
  <si>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</si>
  <si>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</si>
  <si>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</si>
  <si>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</si>
  <si>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</si>
  <si>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</si>
  <si>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</si>
  <si>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</si>
  <si>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</si>
  <si>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</si>
  <si>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</si>
  <si>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</si>
  <si>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</si>
  <si>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</si>
  <si>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</si>
  <si>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</si>
  <si>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</si>
  <si>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</si>
  <si>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</si>
  <si>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</si>
  <si>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</si>
  <si>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</si>
  <si>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</si>
  <si>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</si>
  <si>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</si>
  <si>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</si>
  <si>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</si>
  <si>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</si>
  <si>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</si>
  <si>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</si>
  <si>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</si>
  <si>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</si>
  <si>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</si>
  <si>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</si>
  <si>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</si>
  <si>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</si>
  <si>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</si>
  <si>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</si>
  <si>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</si>
  <si>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</si>
  <si>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</si>
  <si>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</si>
  <si>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</si>
  <si>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</si>
  <si>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</si>
  <si>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</si>
  <si>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</si>
  <si>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</si>
  <si>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</si>
  <si>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</si>
  <si>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</si>
  <si>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</si>
  <si>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</si>
  <si>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</si>
  <si>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</si>
  <si>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</si>
  <si>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</si>
  <si>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</si>
  <si>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</si>
  <si>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</si>
  <si>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</si>
  <si>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</si>
  <si>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</si>
  <si>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</si>
  <si>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</si>
  <si>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</si>
  <si>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</si>
  <si>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</si>
  <si>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</si>
  <si>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</si>
  <si>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</si>
  <si>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</si>
  <si>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</si>
  <si>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</si>
  <si>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</si>
  <si>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</si>
  <si>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</si>
  <si>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</si>
  <si>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</si>
  <si>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</si>
  <si>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</si>
  <si>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</si>
  <si>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</si>
  <si>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</si>
  <si>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</si>
  <si>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</si>
  <si>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</si>
  <si>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</si>
  <si>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</si>
  <si>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</si>
  <si>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</si>
  <si>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</si>
  <si>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</si>
  <si>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</si>
  <si>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</si>
  <si>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</si>
  <si>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</si>
  <si>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</si>
  <si>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</si>
  <si>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</si>
  <si>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</si>
  <si>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</si>
  <si>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</si>
  <si>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</si>
  <si>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</si>
  <si>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</si>
  <si>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</si>
  <si>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</si>
  <si>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</si>
  <si>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</si>
  <si>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</si>
  <si>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</si>
  <si>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</si>
  <si>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</si>
  <si>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</si>
  <si>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</si>
  <si>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</si>
  <si>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</si>
  <si>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</si>
  <si>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</si>
  <si>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</si>
  <si>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</si>
  <si>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</si>
  <si>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</si>
  <si>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</si>
  <si>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</si>
  <si>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</si>
  <si>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</si>
  <si>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</si>
  <si>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</si>
  <si>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</si>
  <si>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</si>
  <si>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</si>
  <si>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</si>
  <si>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</si>
  <si>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</si>
  <si>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</si>
  <si>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</si>
  <si>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</si>
  <si>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</si>
  <si>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</si>
  <si>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</si>
  <si>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</si>
  <si>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</si>
  <si>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</si>
  <si>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</si>
  <si>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</si>
  <si>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</si>
  <si>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</si>
  <si>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</si>
  <si>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</si>
  <si>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</si>
  <si>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</si>
  <si>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</si>
  <si>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</si>
  <si>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</si>
  <si>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</si>
  <si>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</si>
  <si>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</si>
  <si>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</si>
  <si>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</si>
  <si>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</si>
  <si>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</si>
  <si>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</si>
  <si>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</si>
  <si>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</si>
  <si>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</si>
  <si>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</si>
  <si>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</si>
  <si>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</si>
  <si>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</si>
  <si>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</si>
  <si>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</si>
  <si>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</si>
  <si>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</si>
  <si>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</si>
  <si>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</si>
  <si>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</si>
  <si>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</si>
  <si>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</si>
  <si>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</si>
  <si>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</si>
  <si>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</si>
  <si>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</si>
  <si>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</si>
  <si>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</si>
  <si>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</si>
  <si>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</si>
  <si>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</si>
  <si>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</si>
  <si>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</si>
  <si>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</si>
  <si>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</si>
  <si>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</si>
  <si>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</si>
  <si>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</si>
  <si>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</si>
  <si>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</si>
  <si>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</si>
  <si>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</si>
  <si>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</si>
  <si>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</si>
  <si>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</si>
  <si>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</si>
  <si>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</si>
  <si>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</si>
  <si>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</si>
  <si>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</si>
  <si>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</si>
  <si>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</si>
  <si>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</si>
  <si>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</si>
  <si>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</si>
  <si>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</si>
  <si>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</si>
  <si>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</si>
  <si>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</si>
  <si>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</si>
  <si>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</si>
  <si>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</si>
  <si>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</si>
  <si>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</si>
  <si>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</si>
  <si>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</si>
  <si>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</si>
  <si>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</si>
  <si>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</si>
  <si>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</si>
  <si>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</si>
  <si>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</si>
  <si>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</si>
  <si>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</si>
  <si>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</si>
  <si>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</si>
  <si>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</si>
  <si>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</si>
  <si>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</si>
  <si>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</si>
  <si>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</si>
  <si>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</si>
  <si>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</si>
  <si>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</si>
  <si>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</si>
  <si>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</si>
  <si>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</si>
  <si>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</si>
  <si>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</si>
  <si>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</si>
  <si>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</si>
  <si>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</si>
  <si>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</si>
  <si>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</si>
  <si>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</si>
  <si>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</si>
  <si>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</si>
  <si>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</si>
  <si>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</si>
  <si>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</si>
  <si>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</si>
  <si>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</si>
  <si>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</si>
  <si>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</si>
  <si>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</si>
  <si>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</si>
  <si>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</si>
  <si>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</si>
  <si>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</si>
  <si>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</si>
  <si>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</si>
  <si>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</si>
  <si>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</si>
  <si>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</si>
  <si>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</si>
  <si>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</si>
  <si>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</si>
  <si>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</si>
  <si>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</si>
  <si>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</si>
  <si>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</si>
  <si>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</si>
  <si>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</si>
  <si>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</si>
  <si>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</si>
  <si>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</si>
  <si>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</si>
  <si>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</si>
  <si>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</si>
  <si>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</si>
  <si>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</si>
  <si>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</si>
  <si>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</si>
  <si>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</si>
  <si>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</si>
  <si>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</si>
  <si>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</si>
  <si>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</si>
  <si>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</si>
  <si>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</si>
  <si>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</si>
  <si>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</si>
  <si>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</si>
  <si>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</si>
  <si>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</si>
  <si>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</si>
  <si>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</si>
  <si>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</si>
  <si>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</si>
  <si>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</si>
  <si>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</si>
  <si>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</si>
  <si>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</si>
  <si>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</si>
  <si>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</si>
  <si>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</si>
  <si>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</si>
  <si>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</si>
  <si>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</si>
  <si>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</si>
  <si>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</si>
  <si>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</si>
  <si>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</si>
  <si>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</si>
  <si>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</si>
  <si>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</si>
  <si>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</si>
  <si>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</si>
  <si>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</si>
  <si>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</si>
  <si>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</si>
  <si>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</si>
  <si>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</si>
  <si>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</si>
  <si>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</si>
  <si>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</si>
  <si>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</si>
  <si>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</si>
  <si>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</si>
  <si>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</si>
  <si>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</si>
  <si>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</si>
  <si>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</si>
  <si>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</si>
  <si>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</si>
  <si>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</si>
  <si>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</si>
  <si>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</si>
  <si>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</si>
  <si>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</si>
  <si>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</si>
  <si>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</si>
  <si>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</si>
  <si>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</si>
  <si>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</si>
  <si>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</si>
  <si>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</si>
  <si>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</si>
  <si>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</si>
  <si>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</si>
  <si>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</si>
  <si>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</si>
  <si>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</si>
  <si>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</si>
  <si>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</si>
  <si>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</si>
  <si>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</si>
  <si>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</si>
  <si>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</si>
  <si>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</si>
  <si>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</si>
  <si>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</si>
  <si>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</si>
  <si>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</si>
  <si>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</si>
  <si>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</si>
  <si>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</si>
  <si>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</si>
  <si>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</si>
  <si>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</si>
  <si>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</si>
  <si>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</si>
  <si>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</si>
  <si>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</si>
  <si>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</si>
  <si>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</si>
  <si>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</si>
  <si>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</si>
  <si>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</si>
  <si>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</si>
  <si>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</si>
  <si>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</si>
  <si>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</si>
  <si>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</si>
  <si>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</si>
  <si>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</si>
  <si>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</si>
  <si>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</si>
  <si>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</si>
  <si>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</si>
  <si>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</si>
  <si>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</si>
  <si>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</si>
  <si>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</si>
  <si>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</si>
  <si>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</si>
  <si>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</si>
  <si>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</si>
  <si>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</si>
  <si>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</si>
  <si>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</si>
  <si>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</si>
  <si>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</si>
  <si>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</si>
  <si>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</si>
  <si>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</si>
  <si>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</si>
  <si>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</si>
  <si>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</si>
  <si>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</si>
  <si>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</si>
  <si>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</si>
  <si>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</si>
  <si>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</si>
  <si>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</si>
  <si>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</si>
  <si>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</si>
  <si>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</si>
  <si>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</si>
  <si>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</si>
  <si>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</si>
  <si>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</si>
  <si>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</si>
  <si>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</si>
  <si>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</si>
  <si>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</si>
  <si>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</si>
  <si>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</si>
  <si>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</si>
  <si>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</si>
  <si>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</si>
  <si>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</si>
  <si>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</si>
  <si>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</si>
  <si>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</si>
  <si>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</si>
  <si>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</si>
  <si>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</si>
  <si>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</si>
  <si>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</si>
  <si>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</si>
  <si>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</si>
  <si>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</si>
  <si>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</si>
  <si>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</si>
  <si>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</si>
  <si>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</si>
  <si>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</si>
  <si>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</si>
  <si>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</si>
  <si>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</si>
  <si>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</si>
  <si>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</si>
  <si>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</si>
  <si>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</si>
  <si>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</si>
  <si>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</si>
  <si>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</si>
  <si>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</si>
  <si>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</si>
  <si>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</si>
  <si>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</si>
  <si>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</si>
  <si>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</si>
  <si>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</si>
  <si>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</si>
  <si>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</si>
  <si>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</si>
  <si>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</si>
  <si>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</si>
  <si>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</si>
  <si>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</si>
  <si>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</si>
  <si>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</si>
  <si>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</si>
  <si>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</si>
  <si>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</si>
  <si>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</si>
  <si>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</si>
  <si>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</si>
  <si>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</si>
  <si>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</si>
  <si>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</si>
  <si>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</si>
  <si>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</si>
  <si>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</si>
  <si>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</si>
  <si>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</si>
  <si>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</si>
  <si>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</si>
  <si>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</si>
  <si>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</si>
  <si>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</si>
  <si>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</si>
  <si>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</si>
  <si>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</si>
  <si>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</si>
  <si>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</si>
  <si>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</si>
  <si>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</si>
  <si>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</si>
  <si>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</si>
  <si>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</si>
  <si>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</si>
  <si>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</si>
  <si>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</si>
  <si>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</si>
  <si>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</si>
  <si>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</si>
  <si>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</si>
  <si>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</si>
  <si>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</si>
  <si>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</si>
  <si>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</si>
  <si>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</si>
  <si>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</si>
  <si>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</si>
  <si>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</si>
  <si>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</si>
  <si>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</si>
  <si>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</si>
  <si>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</si>
  <si>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</si>
  <si>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</si>
  <si>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</si>
  <si>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</si>
  <si>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</si>
  <si>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</si>
  <si>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</si>
  <si>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</si>
  <si>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</si>
  <si>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</si>
  <si>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</si>
  <si>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</si>
  <si>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</si>
  <si>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</si>
  <si>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</si>
  <si>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</si>
  <si>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</si>
  <si>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</si>
  <si>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</si>
  <si>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</si>
  <si>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</si>
  <si>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</si>
  <si>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</si>
  <si>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</si>
  <si>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</si>
  <si>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</si>
  <si>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</si>
  <si>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</si>
  <si>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</si>
  <si>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</si>
  <si>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</si>
  <si>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</si>
  <si>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</si>
  <si>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</si>
  <si>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</si>
  <si>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</si>
  <si>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</si>
  <si>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</si>
  <si>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</si>
  <si>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</si>
  <si>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</si>
  <si>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</si>
  <si>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</si>
  <si>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</si>
  <si>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</si>
  <si>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</si>
  <si>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</si>
  <si>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</si>
  <si>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</si>
  <si>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</si>
  <si>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</si>
  <si>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</si>
  <si>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</si>
  <si>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</si>
  <si>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</si>
  <si>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</si>
  <si>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</si>
  <si>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</si>
  <si>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</si>
  <si>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</si>
  <si>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</si>
  <si>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</si>
  <si>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</si>
  <si>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</si>
  <si>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</si>
  <si>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</si>
  <si>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</si>
  <si>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</si>
  <si>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</si>
  <si>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</si>
  <si>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</si>
  <si>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</si>
  <si>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</si>
  <si>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</si>
  <si>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</si>
  <si>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</si>
  <si>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</si>
  <si>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</si>
  <si>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</si>
  <si>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</si>
  <si>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</si>
  <si>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</si>
  <si>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</si>
  <si>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</si>
  <si>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</si>
  <si>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</si>
  <si>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</si>
  <si>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</si>
  <si>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</si>
  <si>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</si>
  <si>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</si>
  <si>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</si>
  <si>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</si>
  <si>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</si>
  <si>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</si>
  <si>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</si>
  <si>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</si>
  <si>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</si>
  <si>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</si>
  <si>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</si>
  <si>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</si>
  <si>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</si>
  <si>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</si>
  <si>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</si>
  <si>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</si>
  <si>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</si>
  <si>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</si>
  <si>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</si>
  <si>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</si>
  <si>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</si>
  <si>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</si>
  <si>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</si>
  <si>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</si>
  <si>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</si>
  <si>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</si>
  <si>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</si>
  <si>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</si>
  <si>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</si>
  <si>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</si>
  <si>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</si>
  <si>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</si>
  <si>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</si>
  <si>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</si>
  <si>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</si>
  <si>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</si>
  <si>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</si>
  <si>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</si>
  <si>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</si>
  <si>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</si>
  <si>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</si>
  <si>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</si>
  <si>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</si>
  <si>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</si>
  <si>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</si>
  <si>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</si>
  <si>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</si>
  <si>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</si>
  <si>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</si>
  <si>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</si>
  <si>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</si>
  <si>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</si>
  <si>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</si>
  <si>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</si>
  <si>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</si>
  <si>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</si>
  <si>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</si>
  <si>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</si>
  <si>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</si>
  <si>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</si>
  <si>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</si>
  <si>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</si>
  <si>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</si>
  <si>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</si>
  <si>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</si>
  <si>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</si>
  <si>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</si>
  <si>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</si>
  <si>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</si>
  <si>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</si>
  <si>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</si>
  <si>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</si>
  <si>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</si>
  <si>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</si>
  <si>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</si>
  <si>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</si>
  <si>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</si>
  <si>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</si>
  <si>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</si>
  <si>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</si>
  <si>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</si>
  <si>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</si>
  <si>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</si>
  <si>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</si>
  <si>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</si>
  <si>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</si>
  <si>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</si>
  <si>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</si>
  <si>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</si>
  <si>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</si>
  <si>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</si>
  <si>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</si>
  <si>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</si>
  <si>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</si>
  <si>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</si>
  <si>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</si>
  <si>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</si>
  <si>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</si>
  <si>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</si>
  <si>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</si>
  <si>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</si>
  <si>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</si>
  <si>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</si>
  <si>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</si>
  <si>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</si>
  <si>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</si>
  <si>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</si>
  <si>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</si>
  <si>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</si>
  <si>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</si>
  <si>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</si>
  <si>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</si>
  <si>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</si>
  <si>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</si>
  <si>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</si>
  <si>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</si>
  <si>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</si>
  <si>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</si>
  <si>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</si>
  <si>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</si>
  <si>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</si>
  <si>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</si>
  <si>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</si>
  <si>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</si>
  <si>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</si>
  <si>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</si>
  <si>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</si>
  <si>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</si>
  <si>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</si>
  <si>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</si>
  <si>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</si>
  <si>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</si>
  <si>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</si>
  <si>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</si>
  <si>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</si>
  <si>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</si>
  <si>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</si>
  <si>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</si>
  <si>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</si>
  <si>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</si>
  <si>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</si>
  <si>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</si>
  <si>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</si>
  <si>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</si>
  <si>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</si>
  <si>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</si>
  <si>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</si>
  <si>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</si>
  <si>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</si>
  <si>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</si>
  <si>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</si>
  <si>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</si>
  <si>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</si>
  <si>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</si>
  <si>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</si>
  <si>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</si>
  <si>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</si>
  <si>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</si>
  <si>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</si>
  <si>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</si>
  <si>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</si>
  <si>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</si>
  <si>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</si>
  <si>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</si>
  <si>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</si>
  <si>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</si>
  <si>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</si>
  <si>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</si>
  <si>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</si>
  <si>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</si>
  <si>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</si>
  <si>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</si>
  <si>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</si>
  <si>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</si>
  <si>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</si>
  <si>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</si>
  <si>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</si>
  <si>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</si>
  <si>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</si>
  <si>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</si>
  <si>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</si>
  <si>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</si>
  <si>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</si>
  <si>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</si>
  <si>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</si>
  <si>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</si>
  <si>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</si>
  <si>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</si>
  <si>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</si>
  <si>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</si>
  <si>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</si>
  <si>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</si>
  <si>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</si>
  <si>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</si>
  <si>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</si>
  <si>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</si>
  <si>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</si>
  <si>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</si>
  <si>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</si>
  <si>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</si>
  <si>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</si>
  <si>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</si>
  <si>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</si>
  <si>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</si>
  <si>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</si>
  <si>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</si>
  <si>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</si>
  <si>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</si>
  <si>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</si>
  <si>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</si>
  <si>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</si>
  <si>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</si>
  <si>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</si>
  <si>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</si>
  <si>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</si>
  <si>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</si>
  <si>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</si>
  <si>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</si>
  <si>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</si>
  <si>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</si>
  <si>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</si>
  <si>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</si>
  <si>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</si>
  <si>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</si>
  <si>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</si>
  <si>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</si>
  <si>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</si>
  <si>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</si>
  <si>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</si>
  <si>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</si>
  <si>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</si>
  <si>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</si>
  <si>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</si>
  <si>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</si>
  <si>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</si>
  <si>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</si>
  <si>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</si>
  <si>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</si>
  <si>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</si>
  <si>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</si>
  <si>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</si>
  <si>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</si>
  <si>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</si>
  <si>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</si>
  <si>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</si>
  <si>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</si>
  <si>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</si>
  <si>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</si>
  <si>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</si>
  <si>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</si>
  <si>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</si>
  <si>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</si>
  <si>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</si>
  <si>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</si>
  <si>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</si>
  <si>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</si>
  <si>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</si>
  <si>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</si>
  <si>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</si>
  <si>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</si>
  <si>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</si>
  <si>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</si>
  <si>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</si>
  <si>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</si>
  <si>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</si>
  <si>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</si>
  <si>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</si>
  <si>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</si>
  <si>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</si>
  <si>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</si>
  <si>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</si>
  <si>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</si>
  <si>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</si>
  <si>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</si>
  <si>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</si>
  <si>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</si>
  <si>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</si>
  <si>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</si>
  <si>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</si>
  <si>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</si>
  <si>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</si>
  <si>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</si>
  <si>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</si>
  <si>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</si>
  <si>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</si>
  <si>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</si>
  <si>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</si>
  <si>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</si>
  <si>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</si>
  <si>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</si>
  <si>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</si>
  <si>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</si>
  <si>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</si>
  <si>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</si>
  <si>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</si>
  <si>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</si>
  <si>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</si>
  <si>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</si>
  <si>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</si>
  <si>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</si>
  <si>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</si>
  <si>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</si>
  <si>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</si>
  <si>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</si>
  <si>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</si>
  <si>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</si>
  <si>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</si>
  <si>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</si>
  <si>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</si>
  <si>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</si>
  <si>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</si>
  <si>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</si>
  <si>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</si>
  <si>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</si>
  <si>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</si>
  <si>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</si>
  <si>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</si>
  <si>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</si>
  <si>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</si>
  <si>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</si>
  <si>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</si>
  <si>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</si>
  <si>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</si>
  <si>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</si>
  <si>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</si>
  <si>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</si>
  <si>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</si>
  <si>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</si>
  <si>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</si>
  <si>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</si>
  <si>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</si>
  <si>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</si>
  <si>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</si>
  <si>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</si>
  <si>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</si>
  <si>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</si>
  <si>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</si>
  <si>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</si>
  <si>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</si>
  <si>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</si>
  <si>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</si>
  <si>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</si>
  <si>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</si>
  <si>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</si>
  <si>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</si>
  <si>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</si>
  <si>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</si>
  <si>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</si>
  <si>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</si>
  <si>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</si>
  <si>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</si>
  <si>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</si>
  <si>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</si>
  <si>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</si>
  <si>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</si>
  <si>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</si>
  <si>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</si>
  <si>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</si>
  <si>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</si>
  <si>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</si>
  <si>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</si>
  <si>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</si>
  <si>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</si>
  <si>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</si>
  <si>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</si>
  <si>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</si>
  <si>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</si>
  <si>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</si>
  <si>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</si>
  <si>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</si>
  <si>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</si>
  <si>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</si>
  <si>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</si>
  <si>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</si>
  <si>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</si>
  <si>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</si>
  <si>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</si>
  <si>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</si>
  <si>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</si>
  <si>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</si>
  <si>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</si>
  <si>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</si>
  <si>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</si>
  <si>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</si>
  <si>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</si>
  <si>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</si>
  <si>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</si>
  <si>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</si>
  <si>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</si>
  <si>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</si>
  <si>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</si>
  <si>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</si>
  <si>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</si>
  <si>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</si>
  <si>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</si>
  <si>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</si>
  <si>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</si>
  <si>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</si>
  <si>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</si>
  <si>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</si>
  <si>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</si>
  <si>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</si>
  <si>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</si>
  <si>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</si>
  <si>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</si>
  <si>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</si>
  <si>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</si>
  <si>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</si>
  <si>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</si>
  <si>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</si>
  <si>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</si>
  <si>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</si>
  <si>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</si>
  <si>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</si>
  <si>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</si>
  <si>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</si>
  <si>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</si>
  <si>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</si>
  <si>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</si>
  <si>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</si>
  <si>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</si>
  <si>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</si>
  <si>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</si>
  <si>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</si>
  <si>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</si>
  <si>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</si>
  <si>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</si>
  <si>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</si>
  <si>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</si>
  <si>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</si>
  <si>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</si>
  <si>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</si>
  <si>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</si>
  <si>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</si>
  <si>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</si>
  <si>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</si>
  <si>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</si>
  <si>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</si>
  <si>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</si>
  <si>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</si>
  <si>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</si>
  <si>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</si>
  <si>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</si>
  <si>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</si>
  <si>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</si>
  <si>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</si>
  <si>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</si>
  <si>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</si>
  <si>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</si>
  <si>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</si>
  <si>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</si>
  <si>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</si>
  <si>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</si>
  <si>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</si>
  <si>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</si>
  <si>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</si>
  <si>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</si>
  <si>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</si>
  <si>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</si>
  <si>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</si>
  <si>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</si>
  <si>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</si>
  <si>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</si>
  <si>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</si>
  <si>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</si>
  <si>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</si>
  <si>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</si>
  <si>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</si>
  <si>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</si>
  <si>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</si>
  <si>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</si>
  <si>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</si>
  <si>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</si>
  <si>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</si>
  <si>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</si>
  <si>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</si>
  <si>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</si>
  <si>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</si>
  <si>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</si>
  <si>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</si>
  <si>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</si>
  <si>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</si>
  <si>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</si>
  <si>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</si>
  <si>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</si>
  <si>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</si>
  <si>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</si>
  <si>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</si>
  <si>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</si>
  <si>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</si>
  <si>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</si>
  <si>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</si>
  <si>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</si>
  <si>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</si>
  <si>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</si>
  <si>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</si>
  <si>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</si>
  <si>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</si>
  <si>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</si>
  <si>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</si>
  <si>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</si>
  <si>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</si>
  <si>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</si>
  <si>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</si>
  <si>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</si>
  <si>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</si>
  <si>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</si>
  <si>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</si>
  <si>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</si>
  <si>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</si>
  <si>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</si>
  <si>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</si>
  <si>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</si>
  <si>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</si>
  <si>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</si>
  <si>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</si>
  <si>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</si>
  <si>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</si>
  <si>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</si>
  <si>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</si>
  <si>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</si>
  <si>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</si>
  <si>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</si>
  <si>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</si>
  <si>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</si>
  <si>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</si>
  <si>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</si>
  <si>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</si>
  <si>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</si>
  <si>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</si>
  <si>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</si>
  <si>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</si>
  <si>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</si>
  <si>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</si>
  <si>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</si>
  <si>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</si>
  <si>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</si>
  <si>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</si>
  <si>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</si>
  <si>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</si>
  <si>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</si>
  <si>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</si>
  <si>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</si>
  <si>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</si>
  <si>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</si>
  <si>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</si>
  <si>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</si>
  <si>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</si>
  <si>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</si>
  <si>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</si>
  <si>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</si>
  <si>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</si>
  <si>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</si>
  <si>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</si>
  <si>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</si>
  <si>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</si>
  <si>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</si>
  <si>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</si>
  <si>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</si>
  <si>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</si>
  <si>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</si>
  <si>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</si>
  <si>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</si>
  <si>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</si>
  <si>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</si>
  <si>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</si>
  <si>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</si>
  <si>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</si>
  <si>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</si>
  <si>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</si>
  <si>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</si>
  <si>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</si>
  <si>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</si>
  <si>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</si>
  <si>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</si>
  <si>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</si>
  <si>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</si>
  <si>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</si>
  <si>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</si>
  <si>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</si>
  <si>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</si>
  <si>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</si>
  <si>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</si>
  <si>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</si>
  <si>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</si>
  <si>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</si>
  <si>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</si>
  <si>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</si>
  <si>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</si>
  <si>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</si>
  <si>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</si>
  <si>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</si>
  <si>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</si>
  <si>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</si>
  <si>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</si>
  <si>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</si>
  <si>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</si>
  <si>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</si>
  <si>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</si>
  <si>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</si>
  <si>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</si>
  <si>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</si>
  <si>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</si>
  <si>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</si>
  <si>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</si>
  <si>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</si>
  <si>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</si>
  <si>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</si>
  <si>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</si>
  <si>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</si>
  <si>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</si>
  <si>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</si>
  <si>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</si>
  <si>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</si>
  <si>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</si>
  <si>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</si>
  <si>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</si>
  <si>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</si>
  <si>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</si>
  <si>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</si>
  <si>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</si>
  <si>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</si>
  <si>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</si>
  <si>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</si>
  <si>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</si>
  <si>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</si>
  <si>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</si>
  <si>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</si>
  <si>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</si>
  <si>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</si>
  <si>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</si>
  <si>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</si>
  <si>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</si>
  <si>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</si>
  <si>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</si>
  <si>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</si>
  <si>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</si>
  <si>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</si>
  <si>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</si>
  <si>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</si>
  <si>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</si>
  <si>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</si>
  <si>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</si>
  <si>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</si>
  <si>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</si>
  <si>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</si>
  <si>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</si>
  <si>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</si>
  <si>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</si>
  <si>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</si>
  <si>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</si>
  <si>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</si>
  <si>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</si>
  <si>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</si>
  <si>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</si>
  <si>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</si>
  <si>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</si>
  <si>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</si>
  <si>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</si>
  <si>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</si>
  <si>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</si>
  <si>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</si>
  <si>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</si>
  <si>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</si>
  <si>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</si>
  <si>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</si>
  <si>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</si>
  <si>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</si>
  <si>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</si>
  <si>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</si>
  <si>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</si>
  <si>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</si>
  <si>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</si>
  <si>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</si>
  <si>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</si>
  <si>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</si>
  <si>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</si>
  <si>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</si>
  <si>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</si>
  <si>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</si>
  <si>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</si>
  <si>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</si>
  <si>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</si>
  <si>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</si>
  <si>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</si>
  <si>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</si>
  <si>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</si>
  <si>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</si>
  <si>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</si>
  <si>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</si>
  <si>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</si>
  <si>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</si>
  <si>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</si>
  <si>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</si>
  <si>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</si>
  <si>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</si>
  <si>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</si>
  <si>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</si>
  <si>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</si>
  <si>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</si>
  <si>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</si>
  <si>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</si>
  <si>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</si>
  <si>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</si>
  <si>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</si>
  <si>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</si>
  <si>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</si>
  <si>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</si>
  <si>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</si>
  <si>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</si>
  <si>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</si>
  <si>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</si>
  <si>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</si>
  <si>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</si>
  <si>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</si>
  <si>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</si>
  <si>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</si>
  <si>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</si>
  <si>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</si>
  <si>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</si>
  <si>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</si>
  <si>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</si>
  <si>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</si>
  <si>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</si>
  <si>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</si>
  <si>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</si>
  <si>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</si>
  <si>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</si>
  <si>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</si>
  <si>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</si>
  <si>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</si>
  <si>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</si>
  <si>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</si>
  <si>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</si>
  <si>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</si>
  <si>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</si>
  <si>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</si>
  <si>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</si>
  <si>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</si>
  <si>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</si>
  <si>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</si>
  <si>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</si>
  <si>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</si>
  <si>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</si>
  <si>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</si>
  <si>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</si>
  <si>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</si>
  <si>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</si>
  <si>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</si>
  <si>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</si>
  <si>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</si>
  <si>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</si>
  <si>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</si>
  <si>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</si>
  <si>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</si>
  <si>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</si>
  <si>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</si>
  <si>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</si>
  <si>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</si>
  <si>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</si>
  <si>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</si>
  <si>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</si>
  <si>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</si>
  <si>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</si>
  <si>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</si>
  <si>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</si>
  <si>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</si>
  <si>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</si>
  <si>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</si>
  <si>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</si>
  <si>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</si>
  <si>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</si>
  <si>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</si>
  <si>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</si>
  <si>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</si>
  <si>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</si>
  <si>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</si>
  <si>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</si>
  <si>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</si>
  <si>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</si>
  <si>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</si>
  <si>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</si>
  <si>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</si>
  <si>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</si>
  <si>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</si>
  <si>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</si>
  <si>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</si>
  <si>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</si>
  <si>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</si>
  <si>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</si>
  <si>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</si>
  <si>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</si>
  <si>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</si>
  <si>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</si>
  <si>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</si>
  <si>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</si>
  <si>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</si>
  <si>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</si>
  <si>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</si>
  <si>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</si>
  <si>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</si>
  <si>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</si>
  <si>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</si>
  <si>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</si>
  <si>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</si>
  <si>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</si>
  <si>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</si>
  <si>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</si>
  <si>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</si>
  <si>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</si>
  <si>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</si>
  <si>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</si>
  <si>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</si>
  <si>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</si>
  <si>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</si>
  <si>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</si>
  <si>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</si>
  <si>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</si>
  <si>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</si>
  <si>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</si>
  <si>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</si>
  <si>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</si>
  <si>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</si>
  <si>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</si>
  <si>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</si>
  <si>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</si>
  <si>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</si>
  <si>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</si>
  <si>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</si>
  <si>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</si>
  <si>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</si>
  <si>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</si>
  <si>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</si>
  <si>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</si>
  <si>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</si>
  <si>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</si>
  <si>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</si>
  <si>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</si>
  <si>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</si>
  <si>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</si>
  <si>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</si>
  <si>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</si>
  <si>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</si>
  <si>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</si>
  <si>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</si>
  <si>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</si>
  <si>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</si>
  <si>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</si>
  <si>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</si>
  <si>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</si>
  <si>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</si>
  <si>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</si>
  <si>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</si>
  <si>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</si>
  <si>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</si>
  <si>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</si>
  <si>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</si>
  <si>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</si>
  <si>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</si>
  <si>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</si>
  <si>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</si>
  <si>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</si>
  <si>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</si>
  <si>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</si>
  <si>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</si>
  <si>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</si>
  <si>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</si>
  <si>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</si>
  <si>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</si>
  <si>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</si>
  <si>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</si>
  <si>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</si>
  <si>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</si>
  <si>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</si>
  <si>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</si>
  <si>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</si>
  <si>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</si>
  <si>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</si>
  <si>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</si>
  <si>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</si>
  <si>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</si>
  <si>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</si>
  <si>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</si>
  <si>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</si>
  <si>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</si>
  <si>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</si>
  <si>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</si>
  <si>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</si>
  <si>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</si>
  <si>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</si>
  <si>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</si>
  <si>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</si>
  <si>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</si>
  <si>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</si>
  <si>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</si>
  <si>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</si>
  <si>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</si>
  <si>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</si>
  <si>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</si>
  <si>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</si>
  <si>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</si>
  <si>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</si>
  <si>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</si>
  <si>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</si>
  <si>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</si>
  <si>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</si>
  <si>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</si>
  <si>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</si>
  <si>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</si>
  <si>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</si>
  <si>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</si>
  <si>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</si>
  <si>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</si>
  <si>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</si>
  <si>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</si>
  <si>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</si>
  <si>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</si>
  <si>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</si>
  <si>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</si>
  <si>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</si>
  <si>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</si>
  <si>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</si>
  <si>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</si>
  <si>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</si>
  <si>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</si>
  <si>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</si>
  <si>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</si>
  <si>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</si>
  <si>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</si>
  <si>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</si>
  <si>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</si>
  <si>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</si>
  <si>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</si>
  <si>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</si>
  <si>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</si>
  <si>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</si>
  <si>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</si>
  <si>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</si>
  <si>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</si>
  <si>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</si>
  <si>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</si>
  <si>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</si>
  <si>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</si>
  <si>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</si>
  <si>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</si>
  <si>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</si>
  <si>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</si>
  <si>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</si>
  <si>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</si>
  <si>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</si>
  <si>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</si>
  <si>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</si>
  <si>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</si>
  <si>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</si>
  <si>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</si>
  <si>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</si>
  <si>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</si>
  <si>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</si>
  <si>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</si>
  <si>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</si>
  <si>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</si>
  <si>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</si>
  <si>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</si>
  <si>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</si>
  <si>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</si>
  <si>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</si>
  <si>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</si>
  <si>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</si>
  <si>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</si>
  <si>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</si>
  <si>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</si>
  <si>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</si>
  <si>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</si>
  <si>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</si>
  <si>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</si>
  <si>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</si>
  <si>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</si>
  <si>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</si>
  <si>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</si>
  <si>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</si>
  <si>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</si>
  <si>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</si>
  <si>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</si>
  <si>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</si>
  <si>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</si>
  <si>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</si>
  <si>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</si>
  <si>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</si>
  <si>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</si>
  <si>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</si>
  <si>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</si>
  <si>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</si>
  <si>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</si>
  <si>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</si>
  <si>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</si>
  <si>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</si>
  <si>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</si>
  <si>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</si>
  <si>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</si>
  <si>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</si>
  <si>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</si>
  <si>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</si>
  <si>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</si>
  <si>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</si>
  <si>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</si>
  <si>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</si>
  <si>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</si>
  <si>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</si>
  <si>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</si>
  <si>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</si>
  <si>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</si>
  <si>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</si>
  <si>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</si>
  <si>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</si>
  <si>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</si>
  <si>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</si>
  <si>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</si>
  <si>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</si>
  <si>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</si>
  <si>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</si>
  <si>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</si>
  <si>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</si>
  <si>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</si>
  <si>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</si>
  <si>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</si>
  <si>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</si>
  <si>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</si>
  <si>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</si>
  <si>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</si>
  <si>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</si>
  <si>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</si>
  <si>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</si>
  <si>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</si>
  <si>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</si>
  <si>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</si>
  <si>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</si>
  <si>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</si>
  <si>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</si>
  <si>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</si>
  <si>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</si>
  <si>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</si>
  <si>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</si>
  <si>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</si>
  <si>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</si>
  <si>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</si>
  <si>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</si>
  <si>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</si>
  <si>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</si>
  <si>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</si>
  <si>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</si>
  <si>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</si>
  <si>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</si>
  <si>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</si>
  <si>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</si>
  <si>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</si>
  <si>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</si>
  <si>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</si>
  <si>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</si>
  <si>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</si>
  <si>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</si>
  <si>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</si>
  <si>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</si>
  <si>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</si>
  <si>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</si>
  <si>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</si>
  <si>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</si>
  <si>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</si>
  <si>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</si>
  <si>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</si>
  <si>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</si>
  <si>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</si>
  <si>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</si>
  <si>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</si>
  <si>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</si>
  <si>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</si>
  <si>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</si>
  <si>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</si>
  <si>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</si>
  <si>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</si>
  <si>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</si>
  <si>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</si>
  <si>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</si>
  <si>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</si>
  <si>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</si>
  <si>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</si>
  <si>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</si>
  <si>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</si>
  <si>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</si>
  <si>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</si>
  <si>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</si>
  <si>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</si>
  <si>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</si>
  <si>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</si>
  <si>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</si>
  <si>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</si>
  <si>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</si>
  <si>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</si>
  <si>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</si>
  <si>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</si>
  <si>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</si>
  <si>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</si>
  <si>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</si>
  <si>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</si>
  <si>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</si>
  <si>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</si>
  <si>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</si>
  <si>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</si>
  <si>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</si>
  <si>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</si>
  <si>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</si>
  <si>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</si>
  <si>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</si>
  <si>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</si>
  <si>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</si>
  <si>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</si>
  <si>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</si>
  <si>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</si>
  <si>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</si>
  <si>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</si>
  <si>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</si>
  <si>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</si>
  <si>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</si>
  <si>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</si>
  <si>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</si>
  <si>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</si>
  <si>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</si>
  <si>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</si>
  <si>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</si>
  <si>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</si>
  <si>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</si>
  <si>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</si>
  <si>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</si>
  <si>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</si>
  <si>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</si>
  <si>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</si>
  <si>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</si>
  <si>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</si>
  <si>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</si>
  <si>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</si>
  <si>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</si>
  <si>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</si>
  <si>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</si>
  <si>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</si>
  <si>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</si>
  <si>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</si>
  <si>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</si>
  <si>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</si>
  <si>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</si>
  <si>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</si>
  <si>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</si>
  <si>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</si>
  <si>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</si>
  <si>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</si>
  <si>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</si>
  <si>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</si>
  <si>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</si>
  <si>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</si>
  <si>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</si>
  <si>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</si>
  <si>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</si>
  <si>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</si>
  <si>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</si>
  <si>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</si>
  <si>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</si>
  <si>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</si>
  <si>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</si>
  <si>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</si>
  <si>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</si>
  <si>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</si>
  <si>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</si>
  <si>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</si>
  <si>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</si>
  <si>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</si>
  <si>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</si>
  <si>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</si>
  <si>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</si>
  <si>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</si>
  <si>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</si>
  <si>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</si>
  <si>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</si>
  <si>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</si>
  <si>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</si>
  <si>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</si>
  <si>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</si>
  <si>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</si>
  <si>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</si>
  <si>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</si>
  <si>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</si>
  <si>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</si>
  <si>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</si>
  <si>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</si>
  <si>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</si>
  <si>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</si>
  <si>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</si>
  <si>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</si>
  <si>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</si>
  <si>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</si>
  <si>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</si>
  <si>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</si>
  <si>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</si>
  <si>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</si>
  <si>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</si>
  <si>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</si>
  <si>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</si>
  <si>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</si>
  <si>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</si>
  <si>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</si>
  <si>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</si>
  <si>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</si>
  <si>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</si>
  <si>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</si>
  <si>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</si>
  <si>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</si>
  <si>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</si>
  <si>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</si>
  <si>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</si>
  <si>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</si>
  <si>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</si>
  <si>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</si>
  <si>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</si>
  <si>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</si>
  <si>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</si>
  <si>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</si>
  <si>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</si>
  <si>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</si>
  <si>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</si>
  <si>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</si>
  <si>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</si>
  <si>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</si>
  <si>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</si>
  <si>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</si>
  <si>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</si>
  <si>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</si>
  <si>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</si>
  <si>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</si>
  <si>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</si>
  <si>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</si>
  <si>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</si>
  <si>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</si>
  <si>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</si>
  <si>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</si>
  <si>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</si>
  <si>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</si>
  <si>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</si>
  <si>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</si>
  <si>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</si>
  <si>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</si>
  <si>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</si>
  <si>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</si>
  <si>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</si>
  <si>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</si>
  <si>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</si>
  <si>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</si>
  <si>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</si>
  <si>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</si>
  <si>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</si>
  <si>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</si>
  <si>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</si>
  <si>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</si>
  <si>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</si>
  <si>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</si>
  <si>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</si>
  <si>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</si>
  <si>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</si>
  <si>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</si>
  <si>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</si>
  <si>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</si>
  <si>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</si>
  <si>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</si>
  <si>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</si>
  <si>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</si>
  <si>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</si>
  <si>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</si>
  <si>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</si>
  <si>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</si>
  <si>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</si>
  <si>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</si>
  <si>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</si>
  <si>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</si>
  <si>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</si>
  <si>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</si>
  <si>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</si>
  <si>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</si>
  <si>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</si>
  <si>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</si>
  <si>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</si>
  <si>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</si>
  <si>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</si>
  <si>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</si>
  <si>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</si>
  <si>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</si>
  <si>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</si>
  <si>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</si>
  <si>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</si>
  <si>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</si>
  <si>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</si>
  <si>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</si>
  <si>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</si>
  <si>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</si>
  <si>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</si>
  <si>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</si>
  <si>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</si>
  <si>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</si>
  <si>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</si>
  <si>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</si>
  <si>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</si>
  <si>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</si>
  <si>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</si>
  <si>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</si>
  <si>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</si>
  <si>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</si>
  <si>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</si>
  <si>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</si>
  <si>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</si>
  <si>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</si>
  <si>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</si>
  <si>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</si>
  <si>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</si>
  <si>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</si>
  <si>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</si>
  <si>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</si>
  <si>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</si>
  <si>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</si>
  <si>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</si>
  <si>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</si>
  <si>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</si>
  <si>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</si>
  <si>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</si>
  <si>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</si>
  <si>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</si>
  <si>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</si>
  <si>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</si>
  <si>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</si>
  <si>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</si>
  <si>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</si>
  <si>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</si>
  <si>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</si>
  <si>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</si>
  <si>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</si>
  <si>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</si>
  <si>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</si>
  <si>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</si>
  <si>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</si>
  <si>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</si>
  <si>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</si>
  <si>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</si>
  <si>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</si>
  <si>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</si>
  <si>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</si>
  <si>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</si>
  <si>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</si>
  <si>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</si>
  <si>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</si>
  <si>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</si>
  <si>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</si>
  <si>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</si>
  <si>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</si>
  <si>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</si>
  <si>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</si>
  <si>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</si>
  <si>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</si>
  <si>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</si>
  <si>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</si>
  <si>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</si>
  <si>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</si>
  <si>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</si>
  <si>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</si>
  <si>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</si>
  <si>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</si>
  <si>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</si>
  <si>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</si>
  <si>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</si>
  <si>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</si>
  <si>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</si>
  <si>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</si>
  <si>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</si>
  <si>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</si>
  <si>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</si>
  <si>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</si>
  <si>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</si>
  <si>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</si>
  <si>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</si>
  <si>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</si>
  <si>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</si>
  <si>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</si>
  <si>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</si>
  <si>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</si>
  <si>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</si>
  <si>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</si>
  <si>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</si>
  <si>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</si>
  <si>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</si>
  <si>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</si>
  <si>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</si>
  <si>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</si>
  <si>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</si>
  <si>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</si>
  <si>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</si>
  <si>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</si>
  <si>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</si>
  <si>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</si>
  <si>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</si>
  <si>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</si>
  <si>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</si>
  <si>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</si>
  <si>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</si>
  <si>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</si>
  <si>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</si>
  <si>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</si>
  <si>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</si>
  <si>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</si>
  <si>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</si>
  <si>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</si>
  <si>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</si>
  <si>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</si>
  <si>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</si>
  <si>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</si>
  <si>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</si>
  <si>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</si>
  <si>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</si>
  <si>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</si>
  <si>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</si>
  <si>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</si>
  <si>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</si>
  <si>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</si>
  <si>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</si>
  <si>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</si>
  <si>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</si>
  <si>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</si>
  <si>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</si>
  <si>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</si>
  <si>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</si>
  <si>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</si>
  <si>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</si>
  <si>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</si>
  <si>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</si>
  <si>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</si>
  <si>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</si>
  <si>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</si>
  <si>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</si>
  <si>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</si>
  <si>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</si>
  <si>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</si>
  <si>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</si>
  <si>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</si>
  <si>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</si>
  <si>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</si>
  <si>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</si>
  <si>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</si>
  <si>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</si>
  <si>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</si>
  <si>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</si>
  <si>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</si>
  <si>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</si>
  <si>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</si>
  <si>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</si>
  <si>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</si>
  <si>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</si>
  <si>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</si>
  <si>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</si>
  <si>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</si>
  <si>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</si>
  <si>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</si>
  <si>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</si>
  <si>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</si>
  <si>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</si>
  <si>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</si>
  <si>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</si>
  <si>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</si>
  <si>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</si>
  <si>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</si>
  <si>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</si>
  <si>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</si>
  <si>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</si>
  <si>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</si>
  <si>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</si>
  <si>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</si>
  <si>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</si>
  <si>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</si>
  <si>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</si>
  <si>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</si>
  <si>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</si>
  <si>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</si>
  <si>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</si>
  <si>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</si>
  <si>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</si>
  <si>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</si>
  <si>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</si>
  <si>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</si>
  <si>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</si>
  <si>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</si>
  <si>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</si>
  <si>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</si>
  <si>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</si>
  <si>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</si>
  <si>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</si>
  <si>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</si>
  <si>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</si>
  <si>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</si>
  <si>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</si>
  <si>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</si>
  <si>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</si>
  <si>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</si>
  <si>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</si>
  <si>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</si>
  <si>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</si>
  <si>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</si>
  <si>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</si>
  <si>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</si>
  <si>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</si>
  <si>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</si>
  <si>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</si>
  <si>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</si>
  <si>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</si>
  <si>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</si>
  <si>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</si>
  <si>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</si>
  <si>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</si>
  <si>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</si>
  <si>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</si>
  <si>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</si>
  <si>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</si>
  <si>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</si>
  <si>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</si>
  <si>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</si>
  <si>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</si>
  <si>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</si>
  <si>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</si>
  <si>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</si>
  <si>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</si>
  <si>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</si>
  <si>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</si>
  <si>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</si>
  <si>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</si>
  <si>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</si>
  <si>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</si>
  <si>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</si>
  <si>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</si>
  <si>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</si>
  <si>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</si>
  <si>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</si>
  <si>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</si>
  <si>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</si>
  <si>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</si>
  <si>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</si>
  <si>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</si>
  <si>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</si>
  <si>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</si>
  <si>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</si>
  <si>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</si>
  <si>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</si>
  <si>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</si>
  <si>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</si>
  <si>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</si>
  <si>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</si>
  <si>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</si>
  <si>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</si>
  <si>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</si>
  <si>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</si>
  <si>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</si>
  <si>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</si>
  <si>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</si>
  <si>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</si>
  <si>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</si>
  <si>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</si>
  <si>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</si>
  <si>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</si>
  <si>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</si>
  <si>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</si>
  <si>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</si>
  <si>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</si>
  <si>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</si>
  <si>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</si>
  <si>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</si>
  <si>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</si>
  <si>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</si>
  <si>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</si>
  <si>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</si>
  <si>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</si>
  <si>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</si>
  <si>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</si>
  <si>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</si>
  <si>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</si>
  <si>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</si>
  <si>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</si>
  <si>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</si>
  <si>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</si>
  <si>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</si>
  <si>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</si>
  <si>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</si>
  <si>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</si>
  <si>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</si>
  <si>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</si>
  <si>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</si>
  <si>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</si>
  <si>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</si>
  <si>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</si>
  <si>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</si>
  <si>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</si>
  <si>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</si>
  <si>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</si>
  <si>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</si>
  <si>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</si>
  <si>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</si>
  <si>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</si>
  <si>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</si>
  <si>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</si>
  <si>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</si>
  <si>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</si>
  <si>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</si>
  <si>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</si>
  <si>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</si>
  <si>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</si>
  <si>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</si>
  <si>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</si>
  <si>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</si>
  <si>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</si>
  <si>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</si>
  <si>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</si>
  <si>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</si>
  <si>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</si>
  <si>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</si>
  <si>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</si>
  <si>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</si>
  <si>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</si>
  <si>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</si>
  <si>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</si>
  <si>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</si>
  <si>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</si>
  <si>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</si>
  <si>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</si>
  <si>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</si>
  <si>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</si>
  <si>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</si>
  <si>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</si>
  <si>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</si>
  <si>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</si>
  <si>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</si>
  <si>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</si>
  <si>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</si>
  <si>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</si>
  <si>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</si>
  <si>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</si>
  <si>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</si>
  <si>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</si>
  <si>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</si>
  <si>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</si>
  <si>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</si>
  <si>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</si>
  <si>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</si>
  <si>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</si>
  <si>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</si>
  <si>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</si>
  <si>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</si>
  <si>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</si>
  <si>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</si>
  <si>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</si>
  <si>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</si>
  <si>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</si>
  <si>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</si>
  <si>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</si>
  <si>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</si>
  <si>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</si>
  <si>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</si>
  <si>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</si>
  <si>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</si>
  <si>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</si>
  <si>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</si>
  <si>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</si>
  <si>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</si>
  <si>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</si>
  <si>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</si>
  <si>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</si>
  <si>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</si>
  <si>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</si>
  <si>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</si>
  <si>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</si>
  <si>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</si>
  <si>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</si>
  <si>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</si>
  <si>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</si>
  <si>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</si>
  <si>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</si>
  <si>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</si>
  <si>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</si>
  <si>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</si>
  <si>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</si>
  <si>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</si>
  <si>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</si>
  <si>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</si>
  <si>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</si>
  <si>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</si>
  <si>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</si>
  <si>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</si>
  <si>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</si>
  <si>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</si>
  <si>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</si>
  <si>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</si>
  <si>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</si>
  <si>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</si>
  <si>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</si>
  <si>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</si>
  <si>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</si>
  <si>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</si>
  <si>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</si>
  <si>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</si>
  <si>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</si>
  <si>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</si>
  <si>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</si>
  <si>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</si>
  <si>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</si>
  <si>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</si>
  <si>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</si>
  <si>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</si>
  <si>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</si>
  <si>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</si>
  <si>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</si>
  <si>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</si>
  <si>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</si>
  <si>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</si>
  <si>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</si>
  <si>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</si>
  <si>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</si>
  <si>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</si>
  <si>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</si>
  <si>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</si>
  <si>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</si>
  <si>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</si>
  <si>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</si>
  <si>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</si>
  <si>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</si>
  <si>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</si>
  <si>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</si>
  <si>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</si>
  <si>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</si>
  <si>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</si>
  <si>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</si>
  <si>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</si>
  <si>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</si>
  <si>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</si>
  <si>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</si>
  <si>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</si>
  <si>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</si>
  <si>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</si>
  <si>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</si>
  <si>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</si>
  <si>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</si>
  <si>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</si>
  <si>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</si>
  <si>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</si>
  <si>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</si>
  <si>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</si>
  <si>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</si>
  <si>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</si>
  <si>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</si>
  <si>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</si>
  <si>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</si>
  <si>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</si>
  <si>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</si>
  <si>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</si>
  <si>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</si>
  <si>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</si>
  <si>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</si>
  <si>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</si>
  <si>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</si>
  <si>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</si>
  <si>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</si>
  <si>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</si>
  <si>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</si>
  <si>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</si>
  <si>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</si>
  <si>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</si>
  <si>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</si>
  <si>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</si>
  <si>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</si>
  <si>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</si>
  <si>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</si>
  <si>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</si>
  <si>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</si>
  <si>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</si>
  <si>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</si>
  <si>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</si>
  <si>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</si>
  <si>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</si>
  <si>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</si>
  <si>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</si>
  <si>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</si>
  <si>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</si>
  <si>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</si>
  <si>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</si>
  <si>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</si>
  <si>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</si>
  <si>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</si>
  <si>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</si>
  <si>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</si>
  <si>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</si>
  <si>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</si>
  <si>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</si>
  <si>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</si>
  <si>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</si>
  <si>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</si>
  <si>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</si>
  <si>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</si>
  <si>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</si>
  <si>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</si>
  <si>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</si>
  <si>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</si>
  <si>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</si>
  <si>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</si>
  <si>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</si>
  <si>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</si>
  <si>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</si>
  <si>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</si>
  <si>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</si>
  <si>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</si>
  <si>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</si>
  <si>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</si>
  <si>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</si>
  <si>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</si>
  <si>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</si>
  <si>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</si>
  <si>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</si>
  <si>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</si>
  <si>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</si>
  <si>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</si>
  <si>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</si>
  <si>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</si>
  <si>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</si>
  <si>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</si>
  <si>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</si>
  <si>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</si>
  <si>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</si>
  <si>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</si>
  <si>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</si>
  <si>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</si>
  <si>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</si>
  <si>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</si>
  <si>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</si>
  <si>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</si>
  <si>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</si>
  <si>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</si>
  <si>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</si>
  <si>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</si>
  <si>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</si>
  <si>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</si>
  <si>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</si>
  <si>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</si>
  <si>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</si>
  <si>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</si>
  <si>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</si>
  <si>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</si>
  <si>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</si>
  <si>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</si>
  <si>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</si>
  <si>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</si>
  <si>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</si>
  <si>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</si>
  <si>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</si>
  <si>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</si>
  <si>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</si>
  <si>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</si>
  <si>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</si>
  <si>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</si>
  <si>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</si>
  <si>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</si>
  <si>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</si>
  <si>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</si>
  <si>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</si>
  <si>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</si>
  <si>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</si>
  <si>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</si>
  <si>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</si>
  <si>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</si>
  <si>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</si>
  <si>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</si>
  <si>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</si>
  <si>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</si>
  <si>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</si>
  <si>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</si>
  <si>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</si>
  <si>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</si>
  <si>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</si>
  <si>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</si>
  <si>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</si>
  <si>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</si>
  <si>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</si>
  <si>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</si>
  <si>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</si>
  <si>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</si>
  <si>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</si>
  <si>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</si>
  <si>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</si>
  <si>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</si>
  <si>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</si>
  <si>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</si>
  <si>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</si>
  <si>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</si>
  <si>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</si>
  <si>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</si>
  <si>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</si>
  <si>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</si>
  <si>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</si>
  <si>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</si>
  <si>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</si>
  <si>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</si>
  <si>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</si>
  <si>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</si>
  <si>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</si>
  <si>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</si>
  <si>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</si>
  <si>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</si>
  <si>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</si>
  <si>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</si>
  <si>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</si>
  <si>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</si>
  <si>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</si>
  <si>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</si>
  <si>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</si>
  <si>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</si>
  <si>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</si>
  <si>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</si>
  <si>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</si>
  <si>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</si>
  <si>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</si>
  <si>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</si>
  <si>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</si>
  <si>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</si>
  <si>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</si>
  <si>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</si>
  <si>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</si>
  <si>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</si>
  <si>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</si>
  <si>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</si>
  <si>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</si>
  <si>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</si>
  <si>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</si>
  <si>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</si>
  <si>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</si>
  <si>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</si>
  <si>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</si>
  <si>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</si>
  <si>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</si>
  <si>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</si>
  <si>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</si>
  <si>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</si>
  <si>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</si>
  <si>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</si>
  <si>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</si>
  <si>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</si>
  <si>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</si>
  <si>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</si>
  <si>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</si>
  <si>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</si>
  <si>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</si>
  <si>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</si>
  <si>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</si>
  <si>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</si>
  <si>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</si>
  <si>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</si>
  <si>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</si>
  <si>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</si>
  <si>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</si>
  <si>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</si>
  <si>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</si>
  <si>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</si>
  <si>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</si>
  <si>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</si>
  <si>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</si>
  <si>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</si>
  <si>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</si>
  <si>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</si>
  <si>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</si>
  <si>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</si>
  <si>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</si>
  <si>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</si>
  <si>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</si>
  <si>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</si>
  <si>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</si>
  <si>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</si>
  <si>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</si>
  <si>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</si>
  <si>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</si>
  <si>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</si>
  <si>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</si>
  <si>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</si>
  <si>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</si>
  <si>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</si>
  <si>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</si>
  <si>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</si>
  <si>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</si>
  <si>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</si>
  <si>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</si>
  <si>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</si>
  <si>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</si>
  <si>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</si>
  <si>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</si>
  <si>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</si>
  <si>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</si>
  <si>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</si>
  <si>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</si>
  <si>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</si>
  <si>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</si>
  <si>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</si>
  <si>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</si>
  <si>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</si>
  <si>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</si>
  <si>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</si>
  <si>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</si>
  <si>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</si>
  <si>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</si>
  <si>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</si>
  <si>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</si>
  <si>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</si>
  <si>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</si>
  <si>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</si>
  <si>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</si>
  <si>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</si>
  <si>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</si>
  <si>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</si>
  <si>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</si>
  <si>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</si>
  <si>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</si>
  <si>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</si>
  <si>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</si>
  <si>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</si>
  <si>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</si>
  <si>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</si>
  <si>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</si>
  <si>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</si>
  <si>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</si>
  <si>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</si>
  <si>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</si>
  <si>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</si>
  <si>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</si>
  <si>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</si>
  <si>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</si>
  <si>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</si>
  <si>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</si>
  <si>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</si>
  <si>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</si>
  <si>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</si>
  <si>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</si>
  <si>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</si>
  <si>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</si>
  <si>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</si>
  <si>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</si>
  <si>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</si>
  <si>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</si>
  <si>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</si>
  <si>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</si>
  <si>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</si>
  <si>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</si>
  <si>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</si>
  <si>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</si>
  <si>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</si>
  <si>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</si>
  <si>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</si>
  <si>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</si>
  <si>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</si>
  <si>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</si>
  <si>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</si>
  <si>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</si>
  <si>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</si>
  <si>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</si>
  <si>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</si>
  <si>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</si>
  <si>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</si>
  <si>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</si>
  <si>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</si>
  <si>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</si>
  <si>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</si>
  <si>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</si>
  <si>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</si>
  <si>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</si>
  <si>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</si>
  <si>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</si>
  <si>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</si>
  <si>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</si>
  <si>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</si>
  <si>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</si>
  <si>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</si>
  <si>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</si>
  <si>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</si>
  <si>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</si>
  <si>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</si>
  <si>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</si>
  <si>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</si>
  <si>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</si>
  <si>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</si>
  <si>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</si>
  <si>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</si>
  <si>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</si>
  <si>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</si>
  <si>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</si>
  <si>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</si>
  <si>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</si>
  <si>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</si>
  <si>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</si>
  <si>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</si>
  <si>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</si>
  <si>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</si>
  <si>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</si>
  <si>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</si>
  <si>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</si>
  <si>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</si>
  <si>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</si>
  <si>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</si>
  <si>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</si>
  <si>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</si>
  <si>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</si>
  <si>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</si>
  <si>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</si>
  <si>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</si>
  <si>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</si>
  <si>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</si>
  <si>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</si>
  <si>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</si>
  <si>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</si>
  <si>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</si>
  <si>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</si>
  <si>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</si>
  <si>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</si>
  <si>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</si>
  <si>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</si>
  <si>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</si>
  <si>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</si>
  <si>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</si>
  <si>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</si>
  <si>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</si>
  <si>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</si>
  <si>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</si>
  <si>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</si>
  <si>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</si>
  <si>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</si>
  <si>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</si>
  <si>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</si>
  <si>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</si>
  <si>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</si>
  <si>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</si>
  <si>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</si>
  <si>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</si>
  <si>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</si>
  <si>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</si>
  <si>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</si>
  <si>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</si>
  <si>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</si>
  <si>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</si>
  <si>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</si>
  <si>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</si>
  <si>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</si>
  <si>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</si>
  <si>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</si>
  <si>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</si>
  <si>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</si>
  <si>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</si>
  <si>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</si>
  <si>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</si>
  <si>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</si>
  <si>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</si>
  <si>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</si>
  <si>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</si>
  <si>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</si>
  <si>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</si>
  <si>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</si>
  <si>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</si>
  <si>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</si>
  <si>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</si>
  <si>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</si>
  <si>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</si>
  <si>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</si>
  <si>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</si>
  <si>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</si>
  <si>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</si>
  <si>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</si>
  <si>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</si>
  <si>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</si>
  <si>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</si>
  <si>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</si>
  <si>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</si>
  <si>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</si>
  <si>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</si>
  <si>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</si>
  <si>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</si>
  <si>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</si>
  <si>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</si>
  <si>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</si>
  <si>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</si>
  <si>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</si>
  <si>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</si>
  <si>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</si>
  <si>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</si>
  <si>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</si>
  <si>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</si>
  <si>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</si>
  <si>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</si>
  <si>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</si>
  <si>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</si>
  <si>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</si>
  <si>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</si>
  <si>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</si>
  <si>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</si>
  <si>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</si>
  <si>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</si>
  <si>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</si>
  <si>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</si>
  <si>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</si>
  <si>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</si>
  <si>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</si>
  <si>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</si>
  <si>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</si>
  <si>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</si>
  <si>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</si>
  <si>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</si>
  <si>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</si>
  <si>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</si>
  <si>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</si>
  <si>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</si>
  <si>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</si>
  <si>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</si>
  <si>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</si>
  <si>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</si>
  <si>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</si>
  <si>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</si>
  <si>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</si>
  <si>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</si>
  <si>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</si>
  <si>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</si>
  <si>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</si>
  <si>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</si>
  <si>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</si>
  <si>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</si>
  <si>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</si>
  <si>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</si>
  <si>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</si>
  <si>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</si>
  <si>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</si>
  <si>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</si>
  <si>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</si>
  <si>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</si>
  <si>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</si>
  <si>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</si>
  <si>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</si>
  <si>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</si>
  <si>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</si>
  <si>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</si>
  <si>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</si>
  <si>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</si>
  <si>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</si>
  <si>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</si>
  <si>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</si>
  <si>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</si>
  <si>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</si>
  <si>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</si>
  <si>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</si>
  <si>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</si>
  <si>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</si>
  <si>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</si>
  <si>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</si>
  <si>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</si>
  <si>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</si>
  <si>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</si>
  <si>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</si>
  <si>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</si>
  <si>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</si>
  <si>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</si>
  <si>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</si>
  <si>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</si>
  <si>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</si>
  <si>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</si>
  <si>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</si>
  <si>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</si>
  <si>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</si>
  <si>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</si>
  <si>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</si>
  <si>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</si>
  <si>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</si>
  <si>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</si>
  <si>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</si>
  <si>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</si>
  <si>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</si>
  <si>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</si>
  <si>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</si>
  <si>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</si>
  <si>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</si>
  <si>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</si>
  <si>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</si>
  <si>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</si>
  <si>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</si>
  <si>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</si>
  <si>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</si>
  <si>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</si>
  <si>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</si>
  <si>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</si>
  <si>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</si>
  <si>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</si>
  <si>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</si>
  <si>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</si>
  <si>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</si>
  <si>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</si>
  <si>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</si>
  <si>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</si>
  <si>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</si>
  <si>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</si>
  <si>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</si>
  <si>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</si>
  <si>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</si>
  <si>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</si>
  <si>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</si>
  <si>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</si>
  <si>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</si>
  <si>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</si>
  <si>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</si>
  <si>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</si>
  <si>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</si>
  <si>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</si>
  <si>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</si>
  <si>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</si>
  <si>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</si>
  <si>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</si>
  <si>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</si>
  <si>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</si>
  <si>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</si>
  <si>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</si>
  <si>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</si>
  <si>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</si>
  <si>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</si>
  <si>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</si>
  <si>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</si>
  <si>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</si>
  <si>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</si>
  <si>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</si>
  <si>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</si>
  <si>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</si>
  <si>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</si>
  <si>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</si>
  <si>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</si>
  <si>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</si>
  <si>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</si>
  <si>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</si>
  <si>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</si>
  <si>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</si>
  <si>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</si>
  <si>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</si>
  <si>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</si>
  <si>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</si>
  <si>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</si>
  <si>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</si>
  <si>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</si>
  <si>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</si>
  <si>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</si>
  <si>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</si>
  <si>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</si>
  <si>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</si>
  <si>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</si>
  <si>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</si>
  <si>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</si>
  <si>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</si>
  <si>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</si>
  <si>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</si>
  <si>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</si>
  <si>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</si>
  <si>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</si>
  <si>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</si>
  <si>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</si>
  <si>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</si>
  <si>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</si>
  <si>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</si>
  <si>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</si>
  <si>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</si>
  <si>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</si>
  <si>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</si>
  <si>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</si>
  <si>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</si>
  <si>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</si>
  <si>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</si>
  <si>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</si>
  <si>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</si>
  <si>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</si>
  <si>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</si>
  <si>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</si>
  <si>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</si>
  <si>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</si>
  <si>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</si>
  <si>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</si>
  <si>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</si>
  <si>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</si>
  <si>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</si>
  <si>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</si>
  <si>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</si>
  <si>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</si>
  <si>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</si>
  <si>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</si>
  <si>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</si>
  <si>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</si>
  <si>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</si>
  <si>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</si>
  <si>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</si>
  <si>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</si>
  <si>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</si>
  <si>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</si>
  <si>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</si>
  <si>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</si>
  <si>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</si>
  <si>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</si>
  <si>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</si>
  <si>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</si>
  <si>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</si>
  <si>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</si>
  <si>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</si>
  <si>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</si>
  <si>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</si>
  <si>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</si>
  <si>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</si>
  <si>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</si>
  <si>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</si>
  <si>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</si>
  <si>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</si>
  <si>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</si>
  <si>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</si>
  <si>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</si>
  <si>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</si>
  <si>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</si>
  <si>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</si>
  <si>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</si>
  <si>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</si>
  <si>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</si>
  <si>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</si>
  <si>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</si>
  <si>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</si>
  <si>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</si>
  <si>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</si>
  <si>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</si>
  <si>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</si>
  <si>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</si>
  <si>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</si>
  <si>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</si>
  <si>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</si>
  <si>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</si>
  <si>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</si>
  <si>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</si>
  <si>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</si>
  <si>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</si>
  <si>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</si>
  <si>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</si>
  <si>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</si>
  <si>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</si>
  <si>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</si>
  <si>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</si>
  <si>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</si>
  <si>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</si>
  <si>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</si>
  <si>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</si>
  <si>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</si>
  <si>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</si>
  <si>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</si>
  <si>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</si>
  <si>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</si>
  <si>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</si>
  <si>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</si>
  <si>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</si>
  <si>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</si>
  <si>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</si>
  <si>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</si>
  <si>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</si>
  <si>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</si>
  <si>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</si>
  <si>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</si>
  <si>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</si>
  <si>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</si>
  <si>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</si>
  <si>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</si>
  <si>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</si>
  <si>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</si>
  <si>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</si>
  <si>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</si>
  <si>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</si>
  <si>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</si>
  <si>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</si>
  <si>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</si>
  <si>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</si>
  <si>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</si>
  <si>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</si>
  <si>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</si>
  <si>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</si>
  <si>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</si>
  <si>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</si>
  <si>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</si>
  <si>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</si>
  <si>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</si>
  <si>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</si>
  <si>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</si>
  <si>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</si>
  <si>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</si>
  <si>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</si>
  <si>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</si>
  <si>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</si>
  <si>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</si>
  <si>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</si>
  <si>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</si>
  <si>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</si>
  <si>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</si>
  <si>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</si>
  <si>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</si>
  <si>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</si>
  <si>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</si>
  <si>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</si>
  <si>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</si>
  <si>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</si>
  <si>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</si>
  <si>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</si>
  <si>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</si>
  <si>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</si>
  <si>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</si>
  <si>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</si>
  <si>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</si>
  <si>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</si>
  <si>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</si>
  <si>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</si>
  <si>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</si>
  <si>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</si>
  <si>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</si>
  <si>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</si>
  <si>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</si>
  <si>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</si>
  <si>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</si>
  <si>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</si>
  <si>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</si>
  <si>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</si>
  <si>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</si>
  <si>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</si>
  <si>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</si>
  <si>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</si>
  <si>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</si>
  <si>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</si>
  <si>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</si>
  <si>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</si>
  <si>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</si>
  <si>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</si>
  <si>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</si>
  <si>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</si>
  <si>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</si>
  <si>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</si>
  <si>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</si>
  <si>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</si>
  <si>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</si>
  <si>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</si>
  <si>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</si>
  <si>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</si>
  <si>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</si>
  <si>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</si>
  <si>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</si>
  <si>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</si>
  <si>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</si>
  <si>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</si>
  <si>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</si>
  <si>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</si>
  <si>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</si>
  <si>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</si>
  <si>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</si>
  <si>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</si>
  <si>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</si>
  <si>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</si>
  <si>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</si>
  <si>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</si>
  <si>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</si>
  <si>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</si>
  <si>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</si>
  <si>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</si>
  <si>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</si>
  <si>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</si>
  <si>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</si>
  <si>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</si>
  <si>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</si>
  <si>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</si>
  <si>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</si>
  <si>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</si>
  <si>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</si>
  <si>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</si>
  <si>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</si>
  <si>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</si>
  <si>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</si>
  <si>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</si>
  <si>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</si>
  <si>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</si>
  <si>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</si>
  <si>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</si>
  <si>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</si>
  <si>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</si>
  <si>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</si>
  <si>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</si>
  <si>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</si>
  <si>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</si>
  <si>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</si>
  <si>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</si>
  <si>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</si>
  <si>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</si>
  <si>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</si>
  <si>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</si>
  <si>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</si>
  <si>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</si>
  <si>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</si>
  <si>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</si>
  <si>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</si>
  <si>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</si>
  <si>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</si>
  <si>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</si>
  <si>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</si>
  <si>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</si>
  <si>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</si>
  <si>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</si>
  <si>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</si>
  <si>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</si>
  <si>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</si>
  <si>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</si>
  <si>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</si>
  <si>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</si>
  <si>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</si>
  <si>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</si>
  <si>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</si>
  <si>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</si>
  <si>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</si>
  <si>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</si>
  <si>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</si>
  <si>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</si>
  <si>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</si>
  <si>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</si>
  <si>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</si>
  <si>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</si>
  <si>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</si>
  <si>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</si>
  <si>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</si>
  <si>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</si>
  <si>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</si>
  <si>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</si>
  <si>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</si>
  <si>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</si>
  <si>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</si>
  <si>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</si>
  <si>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</si>
  <si>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</si>
  <si>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</si>
  <si>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</si>
  <si>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</si>
  <si>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</si>
  <si>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</si>
  <si>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</si>
  <si>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</si>
  <si>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</si>
  <si>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</si>
  <si>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</si>
  <si>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</si>
  <si>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</si>
  <si>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</si>
  <si>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</si>
  <si>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</si>
  <si>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</si>
  <si>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</si>
  <si>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</si>
  <si>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</si>
  <si>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</si>
  <si>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</si>
  <si>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</si>
  <si>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</si>
  <si>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</si>
  <si>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</si>
  <si>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</si>
  <si>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</si>
  <si>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</si>
  <si>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</si>
  <si>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</si>
  <si>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</si>
  <si>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</si>
  <si>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</si>
  <si>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</si>
  <si>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</si>
  <si>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</si>
  <si>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</si>
  <si>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</si>
  <si>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</si>
  <si>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</si>
  <si>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</si>
  <si>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</si>
  <si>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</si>
  <si>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</si>
  <si>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</si>
  <si>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</si>
  <si>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</si>
  <si>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</si>
  <si>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</si>
  <si>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</si>
  <si>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</si>
  <si>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</si>
  <si>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</si>
  <si>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</si>
  <si>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</si>
  <si>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</si>
  <si>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</si>
  <si>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</si>
  <si>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</si>
  <si>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</si>
  <si>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</si>
  <si>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</si>
  <si>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</si>
  <si>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</si>
  <si>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</si>
  <si>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</si>
  <si>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</si>
  <si>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</si>
  <si>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</si>
  <si>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</si>
  <si>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</si>
  <si>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</si>
  <si>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</si>
  <si>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</si>
  <si>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</si>
  <si>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</si>
  <si>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</si>
  <si>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</si>
  <si>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</si>
  <si>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</si>
  <si>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</si>
  <si>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</si>
  <si>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</si>
  <si>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</si>
  <si>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</si>
  <si>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</si>
  <si>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</si>
  <si>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</si>
  <si>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</si>
  <si>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</si>
  <si>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</si>
  <si>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</si>
  <si>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</si>
  <si>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</si>
  <si>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</si>
  <si>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</si>
  <si>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</si>
  <si>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</si>
  <si>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</si>
  <si>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</si>
  <si>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</si>
  <si>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</si>
  <si>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</si>
  <si>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</si>
  <si>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</si>
  <si>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</si>
  <si>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</si>
  <si>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</si>
  <si>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</si>
  <si>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</si>
  <si>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</si>
  <si>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</si>
  <si>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</si>
  <si>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</si>
  <si>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</si>
  <si>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</si>
  <si>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</si>
  <si>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</si>
  <si>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</si>
  <si>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</si>
  <si>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</si>
  <si>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</si>
  <si>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</si>
  <si>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</si>
  <si>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</si>
  <si>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</si>
  <si>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</si>
  <si>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</si>
  <si>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</si>
  <si>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</si>
  <si>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</si>
  <si>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</si>
  <si>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</si>
  <si>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</si>
  <si>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</si>
  <si>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</si>
  <si>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</si>
  <si>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</si>
  <si>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</si>
  <si>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</si>
  <si>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</si>
  <si>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</si>
  <si>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</si>
  <si>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</si>
  <si>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</si>
  <si>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</si>
  <si>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</si>
  <si>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</si>
  <si>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</si>
  <si>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</si>
  <si>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</si>
  <si>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</si>
  <si>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</si>
  <si>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</si>
  <si>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</si>
  <si>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</si>
  <si>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</si>
  <si>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</si>
  <si>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</si>
  <si>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</si>
  <si>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</si>
  <si>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</si>
  <si>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</si>
  <si>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</si>
  <si>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</si>
  <si>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</si>
  <si>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</si>
  <si>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</si>
  <si>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</si>
  <si>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</si>
  <si>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</si>
  <si>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</si>
  <si>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</si>
  <si>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</si>
  <si>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</si>
  <si>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</si>
  <si>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</si>
  <si>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</si>
  <si>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</si>
  <si>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</si>
  <si>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</si>
  <si>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</si>
  <si>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</si>
  <si>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</si>
  <si>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</si>
  <si>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</si>
  <si>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</si>
  <si>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</si>
  <si>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</si>
  <si>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</si>
  <si>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</si>
  <si>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</si>
  <si>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</si>
  <si>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</si>
  <si>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</si>
  <si>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</si>
  <si>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</si>
  <si>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</si>
  <si>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</si>
  <si>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</si>
  <si>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</si>
  <si>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</si>
  <si>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</si>
  <si>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</si>
  <si>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</si>
  <si>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</si>
  <si>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</si>
  <si>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</si>
  <si>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</si>
  <si>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</si>
  <si>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</si>
  <si>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</si>
  <si>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</si>
  <si>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</si>
  <si>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</si>
  <si>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</si>
  <si>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</si>
  <si>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</si>
  <si>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</si>
  <si>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</si>
  <si>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</si>
  <si>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</si>
  <si>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</si>
  <si>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</si>
  <si>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</si>
  <si>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</si>
  <si>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</si>
  <si>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</si>
  <si>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</si>
  <si>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</si>
  <si>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</si>
  <si>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</si>
  <si>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</si>
  <si>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</si>
  <si>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</si>
  <si>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</si>
  <si>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</si>
  <si>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</si>
  <si>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</si>
  <si>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</si>
  <si>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</si>
  <si>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</si>
  <si>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</si>
  <si>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</si>
  <si>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</si>
  <si>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</si>
  <si>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</si>
  <si>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</si>
  <si>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</si>
  <si>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</si>
  <si>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</si>
  <si>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</si>
  <si>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</si>
  <si>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</si>
  <si>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</si>
  <si>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</si>
  <si>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</si>
  <si>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</si>
  <si>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</si>
  <si>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</si>
  <si>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</si>
  <si>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</si>
  <si>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</si>
  <si>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</si>
  <si>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</si>
  <si>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</si>
  <si>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</si>
  <si>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</si>
  <si>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</si>
  <si>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</si>
  <si>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</si>
  <si>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</si>
  <si>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</si>
  <si>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</si>
  <si>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</si>
  <si>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</si>
  <si>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</si>
  <si>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</si>
  <si>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</si>
  <si>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</si>
  <si>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</si>
  <si>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</si>
  <si>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</si>
  <si>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</si>
  <si>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</si>
  <si>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</si>
  <si>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</si>
  <si>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</si>
  <si>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</si>
  <si>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</si>
  <si>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</si>
  <si>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</si>
  <si>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</si>
  <si>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</si>
  <si>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</si>
  <si>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</si>
  <si>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</si>
  <si>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</si>
  <si>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</si>
  <si>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</si>
  <si>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</si>
  <si>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</si>
  <si>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</si>
  <si>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</si>
  <si>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</si>
  <si>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</si>
  <si>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</si>
  <si>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</si>
  <si>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</si>
  <si>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</si>
  <si>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</si>
  <si>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</si>
  <si>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</si>
  <si>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</si>
  <si>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</si>
  <si>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</si>
  <si>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</si>
  <si>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</si>
  <si>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</si>
  <si>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</si>
  <si>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</si>
  <si>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</si>
  <si>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</si>
  <si>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</si>
  <si>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</si>
  <si>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</si>
  <si>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</si>
  <si>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</si>
  <si>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</si>
  <si>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</si>
  <si>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</si>
  <si>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</si>
  <si>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</si>
  <si>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</si>
  <si>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</si>
  <si>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</si>
  <si>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</si>
  <si>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</si>
  <si>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</si>
  <si>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</si>
  <si>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</si>
  <si>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</si>
  <si>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</si>
  <si>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</si>
  <si>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</si>
  <si>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</si>
  <si>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</si>
  <si>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</si>
  <si>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</si>
  <si>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</si>
  <si>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</si>
  <si>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</si>
  <si>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</si>
  <si>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</si>
  <si>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</si>
  <si>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</si>
  <si>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</si>
  <si>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</si>
  <si>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</si>
  <si>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</si>
  <si>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</si>
  <si>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</si>
  <si>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</si>
  <si>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</si>
  <si>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</si>
  <si>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</si>
  <si>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</si>
  <si>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</si>
  <si>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</si>
  <si>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</si>
  <si>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</si>
  <si>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</si>
  <si>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</si>
  <si>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</si>
  <si>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</si>
  <si>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</si>
  <si>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</si>
  <si>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</si>
  <si>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</si>
  <si>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</si>
  <si>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</si>
  <si>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</si>
  <si>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</si>
  <si>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</si>
  <si>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</si>
  <si>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</si>
  <si>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</si>
  <si>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</si>
  <si>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</si>
  <si>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</si>
  <si>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</si>
  <si>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</si>
  <si>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</si>
  <si>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</si>
  <si>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</si>
  <si>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</si>
  <si>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</si>
  <si>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</si>
  <si>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</si>
  <si>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</si>
  <si>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</si>
  <si>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</si>
  <si>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</si>
  <si>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</si>
  <si>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</si>
  <si>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</si>
  <si>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</si>
  <si>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</si>
  <si>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</si>
  <si>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</si>
  <si>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</si>
  <si>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</si>
  <si>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</si>
  <si>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</si>
  <si>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</si>
  <si>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</si>
  <si>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</si>
  <si>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</si>
  <si>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</si>
  <si>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</si>
  <si>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</si>
  <si>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</si>
  <si>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</si>
  <si>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</si>
  <si>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</si>
  <si>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</si>
  <si>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</si>
  <si>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</si>
  <si>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</si>
  <si>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</si>
  <si>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</si>
  <si>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</si>
  <si>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</si>
  <si>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</si>
  <si>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</si>
  <si>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</si>
  <si>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</si>
  <si>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</si>
  <si>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</si>
  <si>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</si>
  <si>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</si>
  <si>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</si>
  <si>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</si>
  <si>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</si>
  <si>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</si>
  <si>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</si>
  <si>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</si>
  <si>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</si>
  <si>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</si>
  <si>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</si>
  <si>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</si>
  <si>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</si>
  <si>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</si>
  <si>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</si>
  <si>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</si>
  <si>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</si>
  <si>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</si>
  <si>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</si>
  <si>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</si>
  <si>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</si>
  <si>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</si>
  <si>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</si>
  <si>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</si>
  <si>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</si>
  <si>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</si>
  <si>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</si>
  <si>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</si>
  <si>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</si>
  <si>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</si>
  <si>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</si>
  <si>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</si>
  <si>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</si>
  <si>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</si>
  <si>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</si>
  <si>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</si>
  <si>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</si>
  <si>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</si>
  <si>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</si>
  <si>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</si>
  <si>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</si>
  <si>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</si>
  <si>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</si>
  <si>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</si>
  <si>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</si>
  <si>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</si>
  <si>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</si>
  <si>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</si>
  <si>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</si>
  <si>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</si>
  <si>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</si>
  <si>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</si>
  <si>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</si>
  <si>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</si>
  <si>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</si>
  <si>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</si>
  <si>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</si>
  <si>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</si>
  <si>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</si>
  <si>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</si>
  <si>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</si>
  <si>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</si>
  <si>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</si>
  <si>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</si>
  <si>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</si>
  <si>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</si>
  <si>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</si>
  <si>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</si>
  <si>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</si>
  <si>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</si>
  <si>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</si>
  <si>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</si>
  <si>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</si>
  <si>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</si>
  <si>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</si>
  <si>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</si>
  <si>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</si>
  <si>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</si>
  <si>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</si>
  <si>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</si>
  <si>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</si>
  <si>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</si>
  <si>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</si>
  <si>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</si>
  <si>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</si>
  <si>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</si>
  <si>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</si>
  <si>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</si>
  <si>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</si>
  <si>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</si>
  <si>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</si>
  <si>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</si>
  <si>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</si>
  <si>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</si>
  <si>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</si>
  <si>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</si>
  <si>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</si>
  <si>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</si>
  <si>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</si>
  <si>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</si>
  <si>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</si>
  <si>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</si>
  <si>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</si>
  <si>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</si>
  <si>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</si>
  <si>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</si>
  <si>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</si>
  <si>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</si>
  <si>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</si>
  <si>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</si>
  <si>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</si>
  <si>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</si>
  <si>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</si>
  <si>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</si>
  <si>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</si>
  <si>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</si>
  <si>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</si>
  <si>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</si>
  <si>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</si>
  <si>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</si>
  <si>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</si>
  <si>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</si>
  <si>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</si>
  <si>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</si>
  <si>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</si>
  <si>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</si>
  <si>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</si>
  <si>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</si>
  <si>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</si>
  <si>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</si>
  <si>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</si>
  <si>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</si>
  <si>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</si>
  <si>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</si>
  <si>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</si>
  <si>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</si>
  <si>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</si>
  <si>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</si>
  <si>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</si>
  <si>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</si>
  <si>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</si>
  <si>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</si>
  <si>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</si>
  <si>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</si>
  <si>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</si>
  <si>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</si>
  <si>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</si>
  <si>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</si>
  <si>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</si>
  <si>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</si>
  <si>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</si>
  <si>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</si>
  <si>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</si>
  <si>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</si>
  <si>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</si>
  <si>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</si>
  <si>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</si>
  <si>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</si>
  <si>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</si>
  <si>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</si>
  <si>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</si>
  <si>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</si>
  <si>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</si>
  <si>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</si>
  <si>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</si>
  <si>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</si>
  <si>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</si>
  <si>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</si>
  <si>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</si>
  <si>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</si>
  <si>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</si>
  <si>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</si>
  <si>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</si>
  <si>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</si>
  <si>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</si>
  <si>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</si>
  <si>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</si>
  <si>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</si>
  <si>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</si>
  <si>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</si>
  <si>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</si>
  <si>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</si>
  <si>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</si>
  <si>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</si>
  <si>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</si>
  <si>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</si>
  <si>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</si>
  <si>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</si>
  <si>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</si>
  <si>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</si>
  <si>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</si>
  <si>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</si>
  <si>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</si>
  <si>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</si>
  <si>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</si>
  <si>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</si>
  <si>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</si>
  <si>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</si>
  <si>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</si>
  <si>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</si>
  <si>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</si>
  <si>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</si>
  <si>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</si>
  <si>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</si>
  <si>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</si>
  <si>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</si>
  <si>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</si>
  <si>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</si>
  <si>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</si>
  <si>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</si>
  <si>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</si>
  <si>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</si>
  <si>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</si>
  <si>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</si>
  <si>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</si>
  <si>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</si>
  <si>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</si>
  <si>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</si>
  <si>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</si>
  <si>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</si>
  <si>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</si>
  <si>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</si>
  <si>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</si>
  <si>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</si>
  <si>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</si>
  <si>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</si>
  <si>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</si>
  <si>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</si>
  <si>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</si>
  <si>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</si>
  <si>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</si>
  <si>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</si>
  <si>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</si>
  <si>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</si>
  <si>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</si>
  <si>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</si>
  <si>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</si>
  <si>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</si>
  <si>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</si>
  <si>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</si>
  <si>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</si>
  <si>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</si>
  <si>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</si>
  <si>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</si>
  <si>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</si>
  <si>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</si>
  <si>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</si>
  <si>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</si>
  <si>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</si>
  <si>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</si>
  <si>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</si>
  <si>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</si>
  <si>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</si>
  <si>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</si>
  <si>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</si>
  <si>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</si>
  <si>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</si>
  <si>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</si>
  <si>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</si>
  <si>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</si>
  <si>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</si>
  <si>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</si>
  <si>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</si>
  <si>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</si>
  <si>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</si>
  <si>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</si>
  <si>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</si>
  <si>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</si>
  <si>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</si>
  <si>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</si>
  <si>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</si>
  <si>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</si>
  <si>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</si>
  <si>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</si>
  <si>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</si>
  <si>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</si>
  <si>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</si>
  <si>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</si>
  <si>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</si>
  <si>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</si>
  <si>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</si>
  <si>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</si>
  <si>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</si>
  <si>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</si>
  <si>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</si>
  <si>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</si>
  <si>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</si>
  <si>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</si>
  <si>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</si>
  <si>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</si>
  <si>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</si>
  <si>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</si>
  <si>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</si>
  <si>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</si>
  <si>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</si>
  <si>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</si>
  <si>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</si>
  <si>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</si>
  <si>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</si>
  <si>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</si>
  <si>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</si>
  <si>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</si>
  <si>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</si>
  <si>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</si>
  <si>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</si>
  <si>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</si>
  <si>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</si>
  <si>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</si>
  <si>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</si>
  <si>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</si>
  <si>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</si>
  <si>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</si>
  <si>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</si>
  <si>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</si>
  <si>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</si>
  <si>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</si>
  <si>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</si>
  <si>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</si>
  <si>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</si>
  <si>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</si>
  <si>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</si>
  <si>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</si>
  <si>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</si>
  <si>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</si>
  <si>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</si>
  <si>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</si>
  <si>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</si>
  <si>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</si>
  <si>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</si>
  <si>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</si>
  <si>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</si>
  <si>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</si>
  <si>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</si>
  <si>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</si>
  <si>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</si>
  <si>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</si>
  <si>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</si>
  <si>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</si>
  <si>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</si>
  <si>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</si>
  <si>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</si>
  <si>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</si>
  <si>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</si>
  <si>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</si>
  <si>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</si>
  <si>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</si>
  <si>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</si>
  <si>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</si>
  <si>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</si>
  <si>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</si>
  <si>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</si>
  <si>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</si>
  <si>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</si>
  <si>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</si>
  <si>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</si>
  <si>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</si>
  <si>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</si>
  <si>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</si>
  <si>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</si>
  <si>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</si>
  <si>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</si>
  <si>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</si>
  <si>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</si>
  <si>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</si>
  <si>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</si>
  <si>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</si>
  <si>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</si>
  <si>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</si>
  <si>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</si>
  <si>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</si>
  <si>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</si>
  <si>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</si>
  <si>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</si>
  <si>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</si>
  <si>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</si>
  <si>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</si>
  <si>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</si>
  <si>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</si>
  <si>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</si>
  <si>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</si>
  <si>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</si>
  <si>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</si>
  <si>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</si>
  <si>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</si>
  <si>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</si>
  <si>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</si>
  <si>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</si>
  <si>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</si>
  <si>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</si>
  <si>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</si>
  <si>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</si>
  <si>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</si>
  <si>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</si>
  <si>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</si>
  <si>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</si>
  <si>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</si>
  <si>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</si>
  <si>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</si>
  <si>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</si>
  <si>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</si>
  <si>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</si>
  <si>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</si>
  <si>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</si>
  <si>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</si>
  <si>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</si>
  <si>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</si>
  <si>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</si>
  <si>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</si>
  <si>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</si>
  <si>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</si>
  <si>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</si>
  <si>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</si>
  <si>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</si>
  <si>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</si>
  <si>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</si>
  <si>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</si>
  <si>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</si>
  <si>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</si>
  <si>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</si>
  <si>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</si>
  <si>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</si>
  <si>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</si>
  <si>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</si>
  <si>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</si>
  <si>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</si>
  <si>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</si>
  <si>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</si>
  <si>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</si>
  <si>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</si>
  <si>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</si>
  <si>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</si>
  <si>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</si>
  <si>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</si>
  <si>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</si>
  <si>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</si>
  <si>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</si>
  <si>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</si>
  <si>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</si>
  <si>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</si>
  <si>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</si>
  <si>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</si>
  <si>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</si>
  <si>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</si>
  <si>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</si>
  <si>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</si>
  <si>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</si>
  <si>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</si>
  <si>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</si>
  <si>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</si>
  <si>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</si>
  <si>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</si>
  <si>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</si>
  <si>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</si>
  <si>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</si>
  <si>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</si>
  <si>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</si>
  <si>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</si>
  <si>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</si>
  <si>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</si>
  <si>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</si>
  <si>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</si>
  <si>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</si>
  <si>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</si>
  <si>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</si>
  <si>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</si>
  <si>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</si>
  <si>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</si>
  <si>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</si>
  <si>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</si>
  <si>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</si>
  <si>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</si>
  <si>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</si>
  <si>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</si>
  <si>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</si>
  <si>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</si>
  <si>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</si>
  <si>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</si>
  <si>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</si>
  <si>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</si>
  <si>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</si>
  <si>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</si>
  <si>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</si>
  <si>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</si>
  <si>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</si>
  <si>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</si>
  <si>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</si>
  <si>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</si>
  <si>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</si>
  <si>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</si>
  <si>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</si>
  <si>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</si>
  <si>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</si>
  <si>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</si>
  <si>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</si>
  <si>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</si>
  <si>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</si>
  <si>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</si>
  <si>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</si>
  <si>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</si>
  <si>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</si>
  <si>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</si>
  <si>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</si>
  <si>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</si>
  <si>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</si>
  <si>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</si>
  <si>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</si>
  <si>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</si>
  <si>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</si>
  <si>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</si>
  <si>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</si>
  <si>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</si>
  <si>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</si>
  <si>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</si>
  <si>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</si>
  <si>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</si>
  <si>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</si>
  <si>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</si>
  <si>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</si>
  <si>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</si>
  <si>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</si>
  <si>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</si>
  <si>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</si>
  <si>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</si>
  <si>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</si>
  <si>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</si>
  <si>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</si>
  <si>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</si>
  <si>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</si>
  <si>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</si>
  <si>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</si>
  <si>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</si>
  <si>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</si>
  <si>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</si>
  <si>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</si>
  <si>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</si>
  <si>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</si>
  <si>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</si>
  <si>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</si>
  <si>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</si>
  <si>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</si>
  <si>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</si>
  <si>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</si>
  <si>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</si>
  <si>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</si>
  <si>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</si>
  <si>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</si>
  <si>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</si>
  <si>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</si>
  <si>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</si>
  <si>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</si>
  <si>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</si>
  <si>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</si>
  <si>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</si>
  <si>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</si>
  <si>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</si>
  <si>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</si>
  <si>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</si>
  <si>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</si>
  <si>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</si>
  <si>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</si>
  <si>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</si>
  <si>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</si>
  <si>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</si>
  <si>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</si>
  <si>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</si>
  <si>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</si>
  <si>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</si>
  <si>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</si>
  <si>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</si>
  <si>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</si>
  <si>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</si>
  <si>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</si>
  <si>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</si>
  <si>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</si>
  <si>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</si>
  <si>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</si>
  <si>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</si>
  <si>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</si>
  <si>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</si>
  <si>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</si>
  <si>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</si>
  <si>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</si>
  <si>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</si>
  <si>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</si>
  <si>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</si>
  <si>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</si>
  <si>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</si>
  <si>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</si>
  <si>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</si>
  <si>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</si>
  <si>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</si>
  <si>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</si>
  <si>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</si>
  <si>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</si>
  <si>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</si>
  <si>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</si>
  <si>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</si>
  <si>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</si>
  <si>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</si>
  <si>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</si>
  <si>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</si>
  <si>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</si>
  <si>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</si>
  <si>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</si>
  <si>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</si>
  <si>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</si>
  <si>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</si>
  <si>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</si>
  <si>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</si>
  <si>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</si>
  <si>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</si>
  <si>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</si>
  <si>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</si>
  <si>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</si>
  <si>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</si>
  <si>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</si>
  <si>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</si>
  <si>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</si>
  <si>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</si>
  <si>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</si>
  <si>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</si>
  <si>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</si>
  <si>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</si>
  <si>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</si>
  <si>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</si>
  <si>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</si>
  <si>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</si>
  <si>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</si>
  <si>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</si>
  <si>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</si>
  <si>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</si>
  <si>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</si>
  <si>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</si>
  <si>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</si>
  <si>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</si>
  <si>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</si>
  <si>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</si>
  <si>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</si>
  <si>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</si>
  <si>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</si>
  <si>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</si>
  <si>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</si>
  <si>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</si>
  <si>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</si>
  <si>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</si>
  <si>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</si>
  <si>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</si>
  <si>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</si>
  <si>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</si>
  <si>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</si>
  <si>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</si>
  <si>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</si>
  <si>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</si>
  <si>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</si>
  <si>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</si>
  <si>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</si>
  <si>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</si>
  <si>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</si>
  <si>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</si>
  <si>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</si>
  <si>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</si>
  <si>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</si>
  <si>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</si>
  <si>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</si>
  <si>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</si>
  <si>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</si>
  <si>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</si>
  <si>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</si>
  <si>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</si>
  <si>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</si>
  <si>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</si>
  <si>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</si>
  <si>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</si>
  <si>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</si>
  <si>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</si>
  <si>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</si>
  <si>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</si>
  <si>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</si>
  <si>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</si>
  <si>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</si>
  <si>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</si>
  <si>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</si>
  <si>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</si>
  <si>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</si>
  <si>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</si>
  <si>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</si>
  <si>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</si>
  <si>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</si>
  <si>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</si>
  <si>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</si>
  <si>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</si>
  <si>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</si>
  <si>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</si>
  <si>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</si>
  <si>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</si>
  <si>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</si>
  <si>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</si>
  <si>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</si>
  <si>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</si>
  <si>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</si>
  <si>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</si>
  <si>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</si>
  <si>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</si>
  <si>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</si>
  <si>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</si>
  <si>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</si>
  <si>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</si>
  <si>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</si>
  <si>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</si>
  <si>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</si>
  <si>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</si>
  <si>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</si>
  <si>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</si>
  <si>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</si>
  <si>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</si>
  <si>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</si>
  <si>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</si>
  <si>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</si>
  <si>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</si>
  <si>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</si>
  <si>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</si>
  <si>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</si>
  <si>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</si>
  <si>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</si>
  <si>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</si>
  <si>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</si>
  <si>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</si>
  <si>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</si>
  <si>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</si>
  <si>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</si>
  <si>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</si>
  <si>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</si>
  <si>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</si>
  <si>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</si>
  <si>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</si>
  <si>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</si>
  <si>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</si>
  <si>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</si>
  <si>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</si>
  <si>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</si>
  <si>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</si>
  <si>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</si>
  <si>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</si>
  <si>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</si>
  <si>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</si>
  <si>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</si>
  <si>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</si>
  <si>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</si>
  <si>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</si>
  <si>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</si>
  <si>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</si>
  <si>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</si>
  <si>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</si>
  <si>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</si>
  <si>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</si>
  <si>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</si>
  <si>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</si>
  <si>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</si>
  <si>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</si>
  <si>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</si>
  <si>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</si>
  <si>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</si>
  <si>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</si>
  <si>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</si>
  <si>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</si>
  <si>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</si>
  <si>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</si>
  <si>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</si>
  <si>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</si>
  <si>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</si>
  <si>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</si>
  <si>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</si>
  <si>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</si>
  <si>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</si>
  <si>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</si>
  <si>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</si>
  <si>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</si>
  <si>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</si>
  <si>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</si>
  <si>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</si>
  <si>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</si>
  <si>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</si>
  <si>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</si>
  <si>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</si>
  <si>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</si>
  <si>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</si>
  <si>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</si>
  <si>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</si>
  <si>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</si>
  <si>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</si>
  <si>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</si>
  <si>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</si>
  <si>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</si>
  <si>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</si>
  <si>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</si>
  <si>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</si>
  <si>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</si>
  <si>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</si>
  <si>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</si>
  <si>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</si>
  <si>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</si>
  <si>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</si>
  <si>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</si>
  <si>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</si>
  <si>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</si>
  <si>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</si>
  <si>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</si>
  <si>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</si>
  <si>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</si>
  <si>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</si>
  <si>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</si>
  <si>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</si>
  <si>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</si>
  <si>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</si>
  <si>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</si>
  <si>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</si>
  <si>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</si>
  <si>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</si>
  <si>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</si>
  <si>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</si>
  <si>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</si>
  <si>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</si>
  <si>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</si>
  <si>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</si>
  <si>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</si>
  <si>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</si>
  <si>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</si>
  <si>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</si>
  <si>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</si>
  <si>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</si>
  <si>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</si>
  <si>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</si>
  <si>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</si>
  <si>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</si>
  <si>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</si>
  <si>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</si>
  <si>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</si>
  <si>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</si>
  <si>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</si>
  <si>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</si>
  <si>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</si>
  <si>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</si>
  <si>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</si>
  <si>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</si>
  <si>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</si>
  <si>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</si>
  <si>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</si>
  <si>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</si>
  <si>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</si>
  <si>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</si>
  <si>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</si>
  <si>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</si>
  <si>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</si>
  <si>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</si>
  <si>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</si>
  <si>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</si>
  <si>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</si>
  <si>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</si>
  <si>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</si>
  <si>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</si>
  <si>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</si>
  <si>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</si>
  <si>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</si>
  <si>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</si>
  <si>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</si>
  <si>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</si>
  <si>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</si>
  <si>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</si>
  <si>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</si>
  <si>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</si>
  <si>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</si>
  <si>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</si>
  <si>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</si>
  <si>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</si>
  <si>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</si>
  <si>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</si>
  <si>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</si>
  <si>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</si>
  <si>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</si>
  <si>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</si>
  <si>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</si>
  <si>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</si>
  <si>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</si>
  <si>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</si>
  <si>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</si>
  <si>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</si>
  <si>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</si>
  <si>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</si>
  <si>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</si>
  <si>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</si>
  <si>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</si>
  <si>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</si>
  <si>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</si>
  <si>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</si>
  <si>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</si>
  <si>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</si>
  <si>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</si>
  <si>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</si>
  <si>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</si>
  <si>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</si>
  <si>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</si>
  <si>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</si>
  <si>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</si>
  <si>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</si>
  <si>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</si>
  <si>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</si>
  <si>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</si>
  <si>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</si>
  <si>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</si>
  <si>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</si>
  <si>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</si>
  <si>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</si>
  <si>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</si>
  <si>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</si>
  <si>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</si>
  <si>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</si>
  <si>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</si>
  <si>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</si>
  <si>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</si>
  <si>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</si>
  <si>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</si>
  <si>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</si>
  <si>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</si>
  <si>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</si>
  <si>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</si>
  <si>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</si>
  <si>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</si>
  <si>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</si>
  <si>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</si>
  <si>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</si>
  <si>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</si>
  <si>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</si>
  <si>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</si>
  <si>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</si>
  <si>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</si>
  <si>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</si>
  <si>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</si>
  <si>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</si>
  <si>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</si>
  <si>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</si>
  <si>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</si>
  <si>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</si>
  <si>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</si>
  <si>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</si>
  <si>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</si>
  <si>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</si>
  <si>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</si>
  <si>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</si>
  <si>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</si>
  <si>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</si>
  <si>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</si>
  <si>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</si>
  <si>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</si>
  <si>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</si>
  <si>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</si>
  <si>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</si>
  <si>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</si>
  <si>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</si>
  <si>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</si>
  <si>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</si>
  <si>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</si>
  <si>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</si>
  <si>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</si>
  <si>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</si>
  <si>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</si>
  <si>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</si>
  <si>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</si>
  <si>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</si>
  <si>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</si>
  <si>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</si>
  <si>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</si>
  <si>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</si>
  <si>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</si>
  <si>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</si>
  <si>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</si>
  <si>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</si>
  <si>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</si>
  <si>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</si>
  <si>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</si>
  <si>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</si>
  <si>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</si>
  <si>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</si>
  <si>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</si>
  <si>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</si>
  <si>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</si>
  <si>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</si>
  <si>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</si>
  <si>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</si>
  <si>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</si>
  <si>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</si>
  <si>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</si>
  <si>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</si>
  <si>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</si>
  <si>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</si>
  <si>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</si>
  <si>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</si>
  <si>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</si>
  <si>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</si>
  <si>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</si>
  <si>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</si>
  <si>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</si>
  <si>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</si>
  <si>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</si>
  <si>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</si>
  <si>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</si>
  <si>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</si>
  <si>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</si>
  <si>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</si>
  <si>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</si>
  <si>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</si>
  <si>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</si>
  <si>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</si>
  <si>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</si>
  <si>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</si>
  <si>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</si>
  <si>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</si>
  <si>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</si>
  <si>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</si>
  <si>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</si>
  <si>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</si>
  <si>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</si>
  <si>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</si>
  <si>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</si>
  <si>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</si>
  <si>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</si>
  <si>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</si>
  <si>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</si>
  <si>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</si>
  <si>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</si>
  <si>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</si>
  <si>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</si>
  <si>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</si>
  <si>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</si>
  <si>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</si>
  <si>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</si>
  <si>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</si>
  <si>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</si>
  <si>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</si>
  <si>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</si>
  <si>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</si>
  <si>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</si>
  <si>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</si>
  <si>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</si>
  <si>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</si>
  <si>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</si>
  <si>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</si>
  <si>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</si>
  <si>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</si>
  <si>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</si>
  <si>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</si>
  <si>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</si>
  <si>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</si>
  <si>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</si>
  <si>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</si>
  <si>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</si>
  <si>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</si>
  <si>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</si>
  <si>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</si>
  <si>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</si>
  <si>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</si>
  <si>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</si>
  <si>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</si>
  <si>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</si>
  <si>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</si>
  <si>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</si>
  <si>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</si>
  <si>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</si>
  <si>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</si>
  <si>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</si>
  <si>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</si>
  <si>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</si>
  <si>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</si>
  <si>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</si>
  <si>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</si>
  <si>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</si>
  <si>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</si>
  <si>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</si>
  <si>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</si>
  <si>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</si>
  <si>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</si>
  <si>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</si>
  <si>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</si>
  <si>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</si>
  <si>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</si>
  <si>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</si>
  <si>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</si>
  <si>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</si>
  <si>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</si>
  <si>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</si>
  <si>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</si>
  <si>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</si>
  <si>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</si>
  <si>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</si>
  <si>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</si>
  <si>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</si>
  <si>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</si>
  <si>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</si>
  <si>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</si>
  <si>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</si>
  <si>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</si>
  <si>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</si>
  <si>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</si>
  <si>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</si>
  <si>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</si>
  <si>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</si>
  <si>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</si>
  <si>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</si>
  <si>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</si>
  <si>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</si>
  <si>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</si>
  <si>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</si>
  <si>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</si>
  <si>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</si>
  <si>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</si>
  <si>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</si>
  <si>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</si>
  <si>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</si>
  <si>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</si>
  <si>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</si>
  <si>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</si>
  <si>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</si>
  <si>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</si>
  <si>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</si>
  <si>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</si>
  <si>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</si>
  <si>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</si>
  <si>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</si>
  <si>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</si>
  <si>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</si>
  <si>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</si>
  <si>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</si>
  <si>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</si>
  <si>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</si>
  <si>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</si>
  <si>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</si>
  <si>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</si>
  <si>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</si>
  <si>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</si>
  <si>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</si>
  <si>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</si>
  <si>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</si>
  <si>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</si>
  <si>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</si>
  <si>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</si>
  <si>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</si>
  <si>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</si>
  <si>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</si>
  <si>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</si>
  <si>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</si>
  <si>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</si>
  <si>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</si>
  <si>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</si>
  <si>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</si>
  <si>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</si>
  <si>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</si>
  <si>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</si>
  <si>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</si>
  <si>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</si>
  <si>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</si>
  <si>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</si>
  <si>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</si>
  <si>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</si>
  <si>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</si>
  <si>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</si>
  <si>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</si>
  <si>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</si>
  <si>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</si>
  <si>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</si>
  <si>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</si>
  <si>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</si>
  <si>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</si>
  <si>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</si>
  <si>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</si>
  <si>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</si>
  <si>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</si>
  <si>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</si>
  <si>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</si>
  <si>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</si>
  <si>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</si>
  <si>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</si>
  <si>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</si>
  <si>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</si>
  <si>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</si>
  <si>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</si>
  <si>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</si>
  <si>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</si>
  <si>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</si>
  <si>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</si>
  <si>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</si>
  <si>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</si>
  <si>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</si>
  <si>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</si>
  <si>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</si>
  <si>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</si>
  <si>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</si>
  <si>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</si>
  <si>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</si>
  <si>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</si>
  <si>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</si>
  <si>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</si>
  <si>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</si>
  <si>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</si>
  <si>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</si>
  <si>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</si>
  <si>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</si>
  <si>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</si>
  <si>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</si>
  <si>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</si>
  <si>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</si>
  <si>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</si>
  <si>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</si>
  <si>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</si>
  <si>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</si>
  <si>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</si>
  <si>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</si>
  <si>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</si>
  <si>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</si>
  <si>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</si>
  <si>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</si>
  <si>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</si>
  <si>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</si>
  <si>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</si>
  <si>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</si>
  <si>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</si>
  <si>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</si>
  <si>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</si>
  <si>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</si>
  <si>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</si>
  <si>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</si>
  <si>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</si>
  <si>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</si>
  <si>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</si>
  <si>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</si>
  <si>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</si>
  <si>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</si>
  <si>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</si>
  <si>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</si>
  <si>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</si>
  <si>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</si>
  <si>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</si>
  <si>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</si>
  <si>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</si>
  <si>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</si>
  <si>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</si>
  <si>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</si>
  <si>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</si>
  <si>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</si>
  <si>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</si>
  <si>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</si>
  <si>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</si>
  <si>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</si>
  <si>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</si>
  <si>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</si>
  <si>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</si>
  <si>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</si>
  <si>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</si>
  <si>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</si>
  <si>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</si>
  <si>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</si>
  <si>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</si>
  <si>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</si>
  <si>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</si>
  <si>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</si>
  <si>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</si>
  <si>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</si>
  <si>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</si>
  <si>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</si>
  <si>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</si>
  <si>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</si>
  <si>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</si>
  <si>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</si>
  <si>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</si>
  <si>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</si>
  <si>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</si>
  <si>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</si>
  <si>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</si>
  <si>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</si>
  <si>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</si>
  <si>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</si>
  <si>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</si>
  <si>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</si>
  <si>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</si>
  <si>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</si>
  <si>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</si>
  <si>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</si>
  <si>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</si>
  <si>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</si>
  <si>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</si>
  <si>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</si>
  <si>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</si>
  <si>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</si>
  <si>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</si>
  <si>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</si>
  <si>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</si>
  <si>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</si>
  <si>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</si>
  <si>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</si>
  <si>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</si>
  <si>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</si>
  <si>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</si>
  <si>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</si>
  <si>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</si>
  <si>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</si>
  <si>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</si>
  <si>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</si>
  <si>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</si>
  <si>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</si>
  <si>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</si>
  <si>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</si>
  <si>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</si>
  <si>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</si>
  <si>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</si>
  <si>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</si>
  <si>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</si>
  <si>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</si>
  <si>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</si>
  <si>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</si>
  <si>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</si>
  <si>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</si>
  <si>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</si>
  <si>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</si>
  <si>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</si>
  <si>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</si>
  <si>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</si>
  <si>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</si>
  <si>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</si>
  <si>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</si>
  <si>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</si>
  <si>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</si>
  <si>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</si>
  <si>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</si>
  <si>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</si>
  <si>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</si>
  <si>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</si>
  <si>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</si>
  <si>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</si>
  <si>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</si>
  <si>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</si>
  <si>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</si>
  <si>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</si>
  <si>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</si>
  <si>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</si>
  <si>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</si>
  <si>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</si>
  <si>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</si>
  <si>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</si>
  <si>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</si>
  <si>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</si>
  <si>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</si>
  <si>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</si>
  <si>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</si>
  <si>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</si>
  <si>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</si>
  <si>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</si>
  <si>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</si>
  <si>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</si>
  <si>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</si>
  <si>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</si>
  <si>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</si>
  <si>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</si>
  <si>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</si>
  <si>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</si>
  <si>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</si>
  <si>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</si>
  <si>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</si>
  <si>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</si>
  <si>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</si>
  <si>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</si>
  <si>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</si>
  <si>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</si>
  <si>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</si>
  <si>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</si>
  <si>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</si>
  <si>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</si>
  <si>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</si>
  <si>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</si>
  <si>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</si>
  <si>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</si>
  <si>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</si>
  <si>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</si>
  <si>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</si>
  <si>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</si>
  <si>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</si>
  <si>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</si>
  <si>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</si>
  <si>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</si>
  <si>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</si>
  <si>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</si>
  <si>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</si>
  <si>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</si>
  <si>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</si>
  <si>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</si>
  <si>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</si>
  <si>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</si>
  <si>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</si>
  <si>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</si>
  <si>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</si>
  <si>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</si>
  <si>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</si>
  <si>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</si>
  <si>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</si>
  <si>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</si>
  <si>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</si>
  <si>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</si>
  <si>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</si>
  <si>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</si>
  <si>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</si>
  <si>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</si>
  <si>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</si>
  <si>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</si>
  <si>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</si>
  <si>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</si>
  <si>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</si>
  <si>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</si>
  <si>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</si>
  <si>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</si>
  <si>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</si>
  <si>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</si>
  <si>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</si>
  <si>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</si>
  <si>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</si>
  <si>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</si>
  <si>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</si>
  <si>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</si>
  <si>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</si>
  <si>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</si>
  <si>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</si>
  <si>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</si>
  <si>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</si>
  <si>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</si>
  <si>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</si>
  <si>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</si>
  <si>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</si>
  <si>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</si>
  <si>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</si>
  <si>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</si>
  <si>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</si>
  <si>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</si>
  <si>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</si>
  <si>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</si>
  <si>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</si>
  <si>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</si>
  <si>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</si>
  <si>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</si>
  <si>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</si>
  <si>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</si>
  <si>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</si>
  <si>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</si>
  <si>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</si>
  <si>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</si>
  <si>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</si>
  <si>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</si>
  <si>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</si>
  <si>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</si>
  <si>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</si>
  <si>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</si>
  <si>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</si>
  <si>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</si>
  <si>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</si>
  <si>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</si>
  <si>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</si>
  <si>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</si>
  <si>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</si>
  <si>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</si>
  <si>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</si>
  <si>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</si>
  <si>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</si>
  <si>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</si>
  <si>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</si>
  <si>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</si>
  <si>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</si>
  <si>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</si>
  <si>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</si>
  <si>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</si>
  <si>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</si>
  <si>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</si>
  <si>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</si>
  <si>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</si>
  <si>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</si>
  <si>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</si>
  <si>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</si>
  <si>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</si>
  <si>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</si>
  <si>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</si>
  <si>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</si>
  <si>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</si>
  <si>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</si>
  <si>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</si>
  <si>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</si>
  <si>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</si>
  <si>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</si>
  <si>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</si>
  <si>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</si>
  <si>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</si>
  <si>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</si>
  <si>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</si>
  <si>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</si>
  <si>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</si>
  <si>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</si>
  <si>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</si>
  <si>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</si>
  <si>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</si>
  <si>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</si>
  <si>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</si>
  <si>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</si>
  <si>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</si>
  <si>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</si>
  <si>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</si>
  <si>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</si>
  <si>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</si>
  <si>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</si>
  <si>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</si>
  <si>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</si>
  <si>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</si>
  <si>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</si>
  <si>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</si>
  <si>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</si>
  <si>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</si>
  <si>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</si>
  <si>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</si>
  <si>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</si>
  <si>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</si>
  <si>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</si>
  <si>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</si>
  <si>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</si>
  <si>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</si>
  <si>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</si>
  <si>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</si>
  <si>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</si>
  <si>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</si>
  <si>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</si>
  <si>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</si>
  <si>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</si>
  <si>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</si>
  <si>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</si>
  <si>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</si>
  <si>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</si>
  <si>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</si>
  <si>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</si>
  <si>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</si>
  <si>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</si>
  <si>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</si>
  <si>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</si>
  <si>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</si>
  <si>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</si>
  <si>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</si>
  <si>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</si>
  <si>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</si>
  <si>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</si>
  <si>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</si>
  <si>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</si>
  <si>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</si>
  <si>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</si>
  <si>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</si>
  <si>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</si>
  <si>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</si>
  <si>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</si>
  <si>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</si>
  <si>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</si>
  <si>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</si>
  <si>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</si>
  <si>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</si>
  <si>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</si>
  <si>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</si>
  <si>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</si>
  <si>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</si>
  <si>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</si>
  <si>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</si>
  <si>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</si>
  <si>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</si>
  <si>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</si>
  <si>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</si>
  <si>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</si>
  <si>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</si>
  <si>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</si>
  <si>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</si>
  <si>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</si>
  <si>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</si>
  <si>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</si>
  <si>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</si>
  <si>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</si>
  <si>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</si>
  <si>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</si>
  <si>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</si>
  <si>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</si>
  <si>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</si>
  <si>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</si>
  <si>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</si>
  <si>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</si>
  <si>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</si>
  <si>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</si>
  <si>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</si>
  <si>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</si>
  <si>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</si>
  <si>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</si>
  <si>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</si>
  <si>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</si>
  <si>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</si>
  <si>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</si>
  <si>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</si>
  <si>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</si>
  <si>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</si>
  <si>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</si>
  <si>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</si>
  <si>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</si>
  <si>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</si>
  <si>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</si>
  <si>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</si>
  <si>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</si>
  <si>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</si>
  <si>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</si>
  <si>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</si>
  <si>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</si>
  <si>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</si>
  <si>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</si>
  <si>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</si>
  <si>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</si>
  <si>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</si>
  <si>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</si>
  <si>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</si>
  <si>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</si>
  <si>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</si>
  <si>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</si>
  <si>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</si>
  <si>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</si>
  <si>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</si>
  <si>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</si>
  <si>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</si>
  <si>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</si>
  <si>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</si>
  <si>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</si>
  <si>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</si>
  <si>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</si>
  <si>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</si>
  <si>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</si>
  <si>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</si>
  <si>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</si>
  <si>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</si>
  <si>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</si>
  <si>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</si>
  <si>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</si>
  <si>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</si>
  <si>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</si>
  <si>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</si>
  <si>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</si>
  <si>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</si>
  <si>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</si>
  <si>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</si>
  <si>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</si>
  <si>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</si>
  <si>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</si>
  <si>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</si>
  <si>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</si>
  <si>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</si>
  <si>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</si>
  <si>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</si>
  <si>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</si>
  <si>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</si>
  <si>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</si>
  <si>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</si>
  <si>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</si>
  <si>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</si>
  <si>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</si>
  <si>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</si>
  <si>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</si>
  <si>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</si>
  <si>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</si>
  <si>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</si>
  <si>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</si>
  <si>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</si>
  <si>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</si>
  <si>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</si>
  <si>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</si>
  <si>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</si>
  <si>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</si>
  <si>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</si>
  <si>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</si>
  <si>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</si>
  <si>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</si>
  <si>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</si>
  <si>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</si>
  <si>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</si>
  <si>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</si>
  <si>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</si>
  <si>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</si>
  <si>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</si>
  <si>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</si>
  <si>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</si>
  <si>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</si>
  <si>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</si>
  <si>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</si>
  <si>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</si>
  <si>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</si>
  <si>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</si>
  <si>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</si>
  <si>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</si>
  <si>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</si>
  <si>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</si>
  <si>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</si>
  <si>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</si>
  <si>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</si>
  <si>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</si>
  <si>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</si>
  <si>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</si>
  <si>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</si>
  <si>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</si>
  <si>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</si>
  <si>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</si>
  <si>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</si>
  <si>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</si>
  <si>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</si>
  <si>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</si>
  <si>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</si>
  <si>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</si>
  <si>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</si>
  <si>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</si>
  <si>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</si>
  <si>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</si>
  <si>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</si>
  <si>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</si>
  <si>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</si>
  <si>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</si>
  <si>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</si>
  <si>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</si>
  <si>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</si>
  <si>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</si>
  <si>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</si>
  <si>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</si>
  <si>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</si>
  <si>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</si>
  <si>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</si>
  <si>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</si>
  <si>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</si>
  <si>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</si>
  <si>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</si>
  <si>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</si>
  <si>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</si>
  <si>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</si>
  <si>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</si>
  <si>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</si>
  <si>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</si>
  <si>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</si>
  <si>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</si>
  <si>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</si>
  <si>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</si>
  <si>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</si>
  <si>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</si>
  <si>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</si>
  <si>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</si>
  <si>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</si>
  <si>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</si>
  <si>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</si>
  <si>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</si>
  <si>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</si>
  <si>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</si>
  <si>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</si>
  <si>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</si>
  <si>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</si>
  <si>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</si>
  <si>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</si>
  <si>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</si>
  <si>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</si>
  <si>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</si>
  <si>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</si>
  <si>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</si>
  <si>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</si>
  <si>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</si>
  <si>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</si>
  <si>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</si>
  <si>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</si>
  <si>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</si>
  <si>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</si>
  <si>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</si>
  <si>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</si>
  <si>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</si>
  <si>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</si>
  <si>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</si>
  <si>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</si>
  <si>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</si>
  <si>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</si>
  <si>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</si>
  <si>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</si>
  <si>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</si>
  <si>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</si>
  <si>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</si>
  <si>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</si>
  <si>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</si>
  <si>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</si>
  <si>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</si>
  <si>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</si>
  <si>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</si>
  <si>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</si>
  <si>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</si>
  <si>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</si>
  <si>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</si>
  <si>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</si>
  <si>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</si>
  <si>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</si>
  <si>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</si>
  <si>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</si>
  <si>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</si>
  <si>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</si>
  <si>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</si>
  <si>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</si>
  <si>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</si>
  <si>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</si>
  <si>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</si>
  <si>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</si>
  <si>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</si>
  <si>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</si>
  <si>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</si>
  <si>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</si>
  <si>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</si>
  <si>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</si>
  <si>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</si>
  <si>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</si>
  <si>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</si>
  <si>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</si>
  <si>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</si>
  <si>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</si>
  <si>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</si>
  <si>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</si>
  <si>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</si>
  <si>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</si>
  <si>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</si>
  <si>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</si>
  <si>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</si>
  <si>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</si>
  <si>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</si>
  <si>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</si>
  <si>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</si>
  <si>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</si>
  <si>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</si>
  <si>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</si>
  <si>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</si>
  <si>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</si>
  <si>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</si>
  <si>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</si>
  <si>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</si>
  <si>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</si>
  <si>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</si>
  <si>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</si>
  <si>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</si>
  <si>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</si>
  <si>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</si>
  <si>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</si>
  <si>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</si>
  <si>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</si>
  <si>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</si>
  <si>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</si>
  <si>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</si>
  <si>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</si>
  <si>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</si>
  <si>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</si>
  <si>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</si>
  <si>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</si>
  <si>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</si>
  <si>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</si>
  <si>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</si>
  <si>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</si>
  <si>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</si>
  <si>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</si>
  <si>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</si>
  <si>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</si>
  <si>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</si>
  <si>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</si>
  <si>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</si>
  <si>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</si>
  <si>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</si>
  <si>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</si>
  <si>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</si>
  <si>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</si>
  <si>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</si>
  <si>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</si>
  <si>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</si>
  <si>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</si>
  <si>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</si>
  <si>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</si>
  <si>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</si>
  <si>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</si>
  <si>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</si>
  <si>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</si>
  <si>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</si>
  <si>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</si>
  <si>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</si>
  <si>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</si>
  <si>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</si>
  <si>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</si>
  <si>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</si>
  <si>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</si>
  <si>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</si>
  <si>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</si>
  <si>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</si>
  <si>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</si>
  <si>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</si>
  <si>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</si>
  <si>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</si>
  <si>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</si>
  <si>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</si>
  <si>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</si>
  <si>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</si>
  <si>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</si>
  <si>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</si>
  <si>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</si>
  <si>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</si>
  <si>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</si>
  <si>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</si>
  <si>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</si>
  <si>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</si>
  <si>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</si>
  <si>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</si>
  <si>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</si>
  <si>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</si>
  <si>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</si>
  <si>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</si>
  <si>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</si>
  <si>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</si>
  <si>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</si>
  <si>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</si>
  <si>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</si>
  <si>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</si>
  <si>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</si>
  <si>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</si>
  <si>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</si>
  <si>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</si>
  <si>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</si>
  <si>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</si>
  <si>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</si>
  <si>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</si>
  <si>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</si>
  <si>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</si>
  <si>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</si>
  <si>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</si>
  <si>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</si>
  <si>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</si>
  <si>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</si>
  <si>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</si>
  <si>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</si>
  <si>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</si>
  <si>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</si>
  <si>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</si>
  <si>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</si>
  <si>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</si>
  <si>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</si>
  <si>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</si>
  <si>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</si>
  <si>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</si>
  <si>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</si>
  <si>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</si>
  <si>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</si>
  <si>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</si>
  <si>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</si>
  <si>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</si>
  <si>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</si>
  <si>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</si>
  <si>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</si>
  <si>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</si>
  <si>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</si>
  <si>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</si>
  <si>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</si>
  <si>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</si>
  <si>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</si>
  <si>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</si>
  <si>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</si>
  <si>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</si>
  <si>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</si>
  <si>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</si>
  <si>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</si>
  <si>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</si>
  <si>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</si>
  <si>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</si>
  <si>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</si>
  <si>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</si>
  <si>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</si>
  <si>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</si>
  <si>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</si>
  <si>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</si>
  <si>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</si>
  <si>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</si>
  <si>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</si>
  <si>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</si>
  <si>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</si>
  <si>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</si>
  <si>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</si>
  <si>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</si>
  <si>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</si>
  <si>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</si>
  <si>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</si>
  <si>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</si>
  <si>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</si>
  <si>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</si>
  <si>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</si>
  <si>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</si>
  <si>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</si>
  <si>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</si>
  <si>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</si>
  <si>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</si>
  <si>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</si>
  <si>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</si>
  <si>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</si>
  <si>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</si>
  <si>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</si>
  <si>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</si>
  <si>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</si>
  <si>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</si>
  <si>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</si>
  <si>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</si>
  <si>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</si>
  <si>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</si>
  <si>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</si>
  <si>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</si>
  <si>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</si>
  <si>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</si>
  <si>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</si>
  <si>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</si>
  <si>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</si>
  <si>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</si>
  <si>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</si>
  <si>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</si>
  <si>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</si>
  <si>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</si>
  <si>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</si>
  <si>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</si>
  <si>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</si>
  <si>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</si>
  <si>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</si>
  <si>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</si>
  <si>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</si>
  <si>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</si>
  <si>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</si>
  <si>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</si>
  <si>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</si>
  <si>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</si>
  <si>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</si>
  <si>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</si>
  <si>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</si>
  <si>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</si>
  <si>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</si>
  <si>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</si>
  <si>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</si>
  <si>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</si>
  <si>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</si>
  <si>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</si>
  <si>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</si>
  <si>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</si>
  <si>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</si>
  <si>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</si>
  <si>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</si>
  <si>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</si>
  <si>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</si>
  <si>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</si>
  <si>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</si>
  <si>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</si>
  <si>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</si>
  <si>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</si>
  <si>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</si>
  <si>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</si>
  <si>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</si>
  <si>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</si>
  <si>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</si>
  <si>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</si>
  <si>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</si>
  <si>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</si>
  <si>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</si>
  <si>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</si>
  <si>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</si>
  <si>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</si>
  <si>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</si>
  <si>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</si>
  <si>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</si>
  <si>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</si>
  <si>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</si>
  <si>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</si>
  <si>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</si>
  <si>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</si>
  <si>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</si>
  <si>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</si>
  <si>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</si>
  <si>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</si>
  <si>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</si>
  <si>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</si>
  <si>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</si>
  <si>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</si>
  <si>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</si>
  <si>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</si>
  <si>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</si>
  <si>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</si>
  <si>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</si>
  <si>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</si>
  <si>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</si>
  <si>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</si>
  <si>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</si>
  <si>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</si>
  <si>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</si>
  <si>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</si>
  <si>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</si>
  <si>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</si>
  <si>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</si>
  <si>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</si>
  <si>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</si>
  <si>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</si>
  <si>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</si>
  <si>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</si>
  <si>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</si>
  <si>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</si>
  <si>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</si>
  <si>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</si>
  <si>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</si>
  <si>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</si>
  <si>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</si>
  <si>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</si>
  <si>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</si>
  <si>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</si>
  <si>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</si>
  <si>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</si>
  <si>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</si>
  <si>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</si>
  <si>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</si>
  <si>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</si>
  <si>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</si>
  <si>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</si>
  <si>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</si>
  <si>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</si>
  <si>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</si>
  <si>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</si>
  <si>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</si>
  <si>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</si>
  <si>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</si>
  <si>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</si>
  <si>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</si>
  <si>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</si>
  <si>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</si>
  <si>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</si>
  <si>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</si>
  <si>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</si>
  <si>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</si>
  <si>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</si>
  <si>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</si>
  <si>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</si>
  <si>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</si>
  <si>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</si>
  <si>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</si>
  <si>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</si>
  <si>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</si>
  <si>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</si>
  <si>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</si>
  <si>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</si>
  <si>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</si>
  <si>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</si>
  <si>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</si>
  <si>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</si>
  <si>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</si>
  <si>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</si>
  <si>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</si>
  <si>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</si>
  <si>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</si>
  <si>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</si>
  <si>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</si>
  <si>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</si>
  <si>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</si>
  <si>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</si>
  <si>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</si>
  <si>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</si>
  <si>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</si>
  <si>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</si>
  <si>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</si>
  <si>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</si>
  <si>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</si>
  <si>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</si>
  <si>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</si>
  <si>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</si>
  <si>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</si>
  <si>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</si>
  <si>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</si>
  <si>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</si>
  <si>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</si>
  <si>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</si>
  <si>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</si>
  <si>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</si>
  <si>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</si>
  <si>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</si>
  <si>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</si>
  <si>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</si>
  <si>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</si>
  <si>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</si>
  <si>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</si>
  <si>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</si>
  <si>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</si>
  <si>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</si>
  <si>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</si>
  <si>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</si>
  <si>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</si>
  <si>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</si>
  <si>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</si>
  <si>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</si>
  <si>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</si>
  <si>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</si>
  <si>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</si>
  <si>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</si>
  <si>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</si>
  <si>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</si>
  <si>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</si>
  <si>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</si>
  <si>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</si>
  <si>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</si>
  <si>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</si>
  <si>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</si>
  <si>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</si>
  <si>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</si>
  <si>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</si>
  <si>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</si>
  <si>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</si>
  <si>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</si>
  <si>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</si>
  <si>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</si>
  <si>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</si>
  <si>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</si>
  <si>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</si>
  <si>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</si>
  <si>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</si>
  <si>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</si>
  <si>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</si>
  <si>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</si>
  <si>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</si>
  <si>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</si>
  <si>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</si>
  <si>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</si>
  <si>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</si>
  <si>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</si>
  <si>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</si>
  <si>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</si>
  <si>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</si>
  <si>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</si>
  <si>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</si>
  <si>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</si>
  <si>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</si>
  <si>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</si>
  <si>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</si>
  <si>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</si>
  <si>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</si>
  <si>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</si>
  <si>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</si>
  <si>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</si>
  <si>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</si>
  <si>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</si>
  <si>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</si>
  <si>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</si>
  <si>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</si>
  <si>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</si>
  <si>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</si>
  <si>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</si>
  <si>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</si>
  <si>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</si>
  <si>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</si>
  <si>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</si>
  <si>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</si>
  <si>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</si>
  <si>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</si>
  <si>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</si>
  <si>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</si>
  <si>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</si>
  <si>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</si>
  <si>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</si>
  <si>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</si>
  <si>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</si>
  <si>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</si>
  <si>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</si>
  <si>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</si>
  <si>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</si>
  <si>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</si>
  <si>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</si>
  <si>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</si>
  <si>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</si>
  <si>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</si>
  <si>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</si>
  <si>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</si>
  <si>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</si>
  <si>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</si>
  <si>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</si>
  <si>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</si>
  <si>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</si>
  <si>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</si>
  <si>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</si>
  <si>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</si>
  <si>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</si>
  <si>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</si>
  <si>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</si>
  <si>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</si>
  <si>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</si>
  <si>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</si>
  <si>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</si>
  <si>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</si>
  <si>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</si>
  <si>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</si>
  <si>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</si>
  <si>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</si>
  <si>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</si>
  <si>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</si>
  <si>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</si>
  <si>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</si>
  <si>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</si>
  <si>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</si>
  <si>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</si>
  <si>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</si>
  <si>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</si>
  <si>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</si>
  <si>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</si>
  <si>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</si>
  <si>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</si>
  <si>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</si>
  <si>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</si>
  <si>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</si>
  <si>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</si>
  <si>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</si>
  <si>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</si>
  <si>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</si>
  <si>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</si>
  <si>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</si>
  <si>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</si>
  <si>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</si>
  <si>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</si>
  <si>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</si>
  <si>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</si>
  <si>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</si>
  <si>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</si>
  <si>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</si>
  <si>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</si>
  <si>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</si>
  <si>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</si>
  <si>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</si>
  <si>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</si>
  <si>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</si>
  <si>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</si>
  <si>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</si>
  <si>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</si>
  <si>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</si>
  <si>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</si>
  <si>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</si>
  <si>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</si>
  <si>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</si>
  <si>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</si>
  <si>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</si>
  <si>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</si>
  <si>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</si>
  <si>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</si>
  <si>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</si>
  <si>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</si>
  <si>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</si>
  <si>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</si>
  <si>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</si>
  <si>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</si>
  <si>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</si>
  <si>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</si>
  <si>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</si>
  <si>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</si>
  <si>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</si>
  <si>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</si>
  <si>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</si>
  <si>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</si>
  <si>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</si>
  <si>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</si>
  <si>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</si>
  <si>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</si>
  <si>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</si>
  <si>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</si>
  <si>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</si>
  <si>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</si>
  <si>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</si>
  <si>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</si>
  <si>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</si>
  <si>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</si>
  <si>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</si>
  <si>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</si>
  <si>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</si>
  <si>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</si>
  <si>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</si>
  <si>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</si>
  <si>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</si>
  <si>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</si>
  <si>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</si>
  <si>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</si>
  <si>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</si>
  <si>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</si>
  <si>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</si>
  <si>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</si>
  <si>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</si>
  <si>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</si>
  <si>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</si>
  <si>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</si>
  <si>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</si>
  <si>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</si>
  <si>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</si>
  <si>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</si>
  <si>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</si>
  <si>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</si>
  <si>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</si>
  <si>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</si>
  <si>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</si>
  <si>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</si>
  <si>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</si>
  <si>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</si>
  <si>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</si>
  <si>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</si>
  <si>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</si>
  <si>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</si>
  <si>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</si>
  <si>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</si>
  <si>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</si>
  <si>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</si>
  <si>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</si>
  <si>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</si>
  <si>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</si>
  <si>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</si>
  <si>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</si>
  <si>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</si>
  <si>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</si>
  <si>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</si>
  <si>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</si>
  <si>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</si>
  <si>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</si>
  <si>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</si>
  <si>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</si>
  <si>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</si>
  <si>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</si>
  <si>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</si>
  <si>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</si>
  <si>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</si>
  <si>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</si>
  <si>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</si>
  <si>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</si>
  <si>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</si>
  <si>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</si>
  <si>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</si>
  <si>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</si>
  <si>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</si>
  <si>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</si>
  <si>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</si>
  <si>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</si>
  <si>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</si>
  <si>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</si>
  <si>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</si>
  <si>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</si>
  <si>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</si>
  <si>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</si>
  <si>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</si>
  <si>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</si>
  <si>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</si>
  <si>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</si>
  <si>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</si>
  <si>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</si>
  <si>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</si>
  <si>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</si>
  <si>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</si>
  <si>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</si>
  <si>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</si>
  <si>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</si>
  <si>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</si>
  <si>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</si>
  <si>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</si>
  <si>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</si>
  <si>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</si>
  <si>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</si>
  <si>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</si>
  <si>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</si>
  <si>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</si>
  <si>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</si>
  <si>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</si>
  <si>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</si>
  <si>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</si>
  <si>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</si>
  <si>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</si>
  <si>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</si>
  <si>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</si>
  <si>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</si>
  <si>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</si>
  <si>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</si>
  <si>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</si>
  <si>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</si>
  <si>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</si>
  <si>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</si>
  <si>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</si>
  <si>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</si>
  <si>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</si>
  <si>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</si>
  <si>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</si>
  <si>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</si>
  <si>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</si>
  <si>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</si>
  <si>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</si>
  <si>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</si>
  <si>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</si>
  <si>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</si>
  <si>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</si>
  <si>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</si>
  <si>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</si>
  <si>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</si>
  <si>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</si>
  <si>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</si>
  <si>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</si>
  <si>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</si>
  <si>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</si>
  <si>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</si>
  <si>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</si>
  <si>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</si>
  <si>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</si>
  <si>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</si>
  <si>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</si>
  <si>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</si>
  <si>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</si>
  <si>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</si>
  <si>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</si>
  <si>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</si>
  <si>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</si>
  <si>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</si>
  <si>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</si>
  <si>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</si>
  <si>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</si>
  <si>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</si>
  <si>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</si>
  <si>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</si>
  <si>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</si>
  <si>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</si>
  <si>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</si>
  <si>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</si>
  <si>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</si>
  <si>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</si>
  <si>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</si>
  <si>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</si>
  <si>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</si>
  <si>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</si>
  <si>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</si>
  <si>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</si>
  <si>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</si>
  <si>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</si>
  <si>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</si>
  <si>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</si>
  <si>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</si>
  <si>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</si>
  <si>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</si>
  <si>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</si>
  <si>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</si>
  <si>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</si>
  <si>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</si>
  <si>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</si>
  <si>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</si>
  <si>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</si>
  <si>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</si>
  <si>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</si>
  <si>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</si>
  <si>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</si>
  <si>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</si>
  <si>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</si>
  <si>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</si>
  <si>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</si>
  <si>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</si>
  <si>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</si>
  <si>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</si>
  <si>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</si>
  <si>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</si>
  <si>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</si>
  <si>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</si>
  <si>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</si>
  <si>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</si>
  <si>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</si>
  <si>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</si>
  <si>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</si>
  <si>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</si>
  <si>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</si>
  <si>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</si>
  <si>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</si>
  <si>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</si>
  <si>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</si>
  <si>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</si>
  <si>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</si>
  <si>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</si>
  <si>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</si>
  <si>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</si>
  <si>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</si>
  <si>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</si>
  <si>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</si>
  <si>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</si>
  <si>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</si>
  <si>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</si>
  <si>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</si>
  <si>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</si>
  <si>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</si>
  <si>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</si>
  <si>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</si>
  <si>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</si>
  <si>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</si>
  <si>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</si>
  <si>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</si>
  <si>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</si>
  <si>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</si>
  <si>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</si>
  <si>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</si>
  <si>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</si>
  <si>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</si>
  <si>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</si>
  <si>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</si>
  <si>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</si>
  <si>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</si>
  <si>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</si>
  <si>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</si>
  <si>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</si>
  <si>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</si>
  <si>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</si>
  <si>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</si>
  <si>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</si>
  <si>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</si>
  <si>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</si>
  <si>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</si>
  <si>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</si>
  <si>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</si>
  <si>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</si>
  <si>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</si>
  <si>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</si>
  <si>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</si>
  <si>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</si>
  <si>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</si>
  <si>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</si>
  <si>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</si>
  <si>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</si>
  <si>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</si>
  <si>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</si>
  <si>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</si>
  <si>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</si>
  <si>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</si>
  <si>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</si>
  <si>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</si>
  <si>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</si>
  <si>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</si>
  <si>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</si>
  <si>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</si>
  <si>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</si>
  <si>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</si>
  <si>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</si>
  <si>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</si>
  <si>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</si>
  <si>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</si>
  <si>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</si>
  <si>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</si>
  <si>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</si>
  <si>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</si>
  <si>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</si>
  <si>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</si>
  <si>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</si>
  <si>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</si>
  <si>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</si>
  <si>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</si>
  <si>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</si>
  <si>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</si>
  <si>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</si>
  <si>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</si>
  <si>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</si>
  <si>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</si>
  <si>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</si>
  <si>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</si>
  <si>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</si>
  <si>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</si>
  <si>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</si>
  <si>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</si>
  <si>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</si>
  <si>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</si>
  <si>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</si>
  <si>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</si>
  <si>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</si>
  <si>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</si>
  <si>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</si>
  <si>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</si>
  <si>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</si>
  <si>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</si>
  <si>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</si>
  <si>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</si>
  <si>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</si>
  <si>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</si>
  <si>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</si>
  <si>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</si>
  <si>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</si>
  <si>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</si>
  <si>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</si>
  <si>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</si>
  <si>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</si>
  <si>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</si>
  <si>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</si>
  <si>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</si>
  <si>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</si>
  <si>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</si>
  <si>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</si>
  <si>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</si>
  <si>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</si>
  <si>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</si>
  <si>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</si>
  <si>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</si>
  <si>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</si>
  <si>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</si>
  <si>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</si>
  <si>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</si>
  <si>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</si>
  <si>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</si>
  <si>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</si>
  <si>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</si>
  <si>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</si>
  <si>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</si>
  <si>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</si>
  <si>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</si>
  <si>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</si>
  <si>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</si>
  <si>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</si>
  <si>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</si>
  <si>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</si>
  <si>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</si>
  <si>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</si>
  <si>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</si>
  <si>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</si>
  <si>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</si>
  <si>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</si>
  <si>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</si>
  <si>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</si>
  <si>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</si>
  <si>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</si>
  <si>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</si>
  <si>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</si>
  <si>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</si>
  <si>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</si>
  <si>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</si>
  <si>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</si>
  <si>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</si>
  <si>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</si>
  <si>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</si>
  <si>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</si>
  <si>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</si>
  <si>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</si>
  <si>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</si>
  <si>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</si>
  <si>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</si>
  <si>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</si>
  <si>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</si>
  <si>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</si>
  <si>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</si>
  <si>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</si>
  <si>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</si>
  <si>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</si>
  <si>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</si>
  <si>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</si>
  <si>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</si>
  <si>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</si>
  <si>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</si>
  <si>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</si>
  <si>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</si>
  <si>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</si>
  <si>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</si>
  <si>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</si>
  <si>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</si>
  <si>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</si>
  <si>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</si>
  <si>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</si>
  <si>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</si>
  <si>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</si>
  <si>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</si>
  <si>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</si>
  <si>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</si>
  <si>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</si>
  <si>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</si>
  <si>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</si>
  <si>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</si>
  <si>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</si>
  <si>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</si>
  <si>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</si>
  <si>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</si>
  <si>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</si>
  <si>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</si>
  <si>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</si>
  <si>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</si>
  <si>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</si>
  <si>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</si>
  <si>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</si>
  <si>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</si>
  <si>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</si>
  <si>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</si>
  <si>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</si>
  <si>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</si>
  <si>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</si>
  <si>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</si>
  <si>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</si>
  <si>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</si>
  <si>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</si>
  <si>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</si>
  <si>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</si>
  <si>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</si>
  <si>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</si>
  <si>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</si>
  <si>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</si>
  <si>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</si>
  <si>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</si>
  <si>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</si>
  <si>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</si>
  <si>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</si>
  <si>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</si>
  <si>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</si>
  <si>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</si>
  <si>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</si>
  <si>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</si>
  <si>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</si>
  <si>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</si>
  <si>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</si>
  <si>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</si>
  <si>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</si>
  <si>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</si>
  <si>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</si>
  <si>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</si>
  <si>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</si>
  <si>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</si>
  <si>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</si>
  <si>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</si>
  <si>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</si>
  <si>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</si>
  <si>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</si>
  <si>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</si>
  <si>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</si>
  <si>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</si>
  <si>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</si>
  <si>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</si>
  <si>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</si>
  <si>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</si>
  <si>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</si>
  <si>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</si>
  <si>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</si>
  <si>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</si>
  <si>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</si>
  <si>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</si>
  <si>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</si>
  <si>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</si>
  <si>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</si>
  <si>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</si>
  <si>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</si>
  <si>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</si>
  <si>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</si>
  <si>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</si>
  <si>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</si>
  <si>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</si>
  <si>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</si>
  <si>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</si>
  <si>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</si>
  <si>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</si>
  <si>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</si>
  <si>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</si>
  <si>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</si>
  <si>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</si>
  <si>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</si>
  <si>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</si>
  <si>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</si>
  <si>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</si>
  <si>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</si>
  <si>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</si>
  <si>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</si>
  <si>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</si>
  <si>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</si>
  <si>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</si>
  <si>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</si>
  <si>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</si>
  <si>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</si>
  <si>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</si>
  <si>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</si>
  <si>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</si>
  <si>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</si>
  <si>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</si>
  <si>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</si>
  <si>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</si>
  <si>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</si>
  <si>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</si>
  <si>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</si>
  <si>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</si>
  <si>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</si>
  <si>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</si>
  <si>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</si>
  <si>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</si>
  <si>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</si>
  <si>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</si>
  <si>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</si>
  <si>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</si>
  <si>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</si>
  <si>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</si>
  <si>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</si>
  <si>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</si>
  <si>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</si>
  <si>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</si>
  <si>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</si>
  <si>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</si>
  <si>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</si>
  <si>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</si>
  <si>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</si>
  <si>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</si>
  <si>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</si>
  <si>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</si>
  <si>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</si>
  <si>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 xml:space="preserve">Cirocomm Technology Corp.     </t>
    <phoneticPr fontId="97" type="noConversion"/>
  </si>
  <si>
    <r>
      <t>DESIGN AND MANUFACTURE OF GPS ANTENNA</t>
    </r>
    <r>
      <rPr>
        <sz val="12"/>
        <rFont val="細明體"/>
        <family val="3"/>
        <charset val="136"/>
      </rPr>
      <t>、</t>
    </r>
    <r>
      <rPr>
        <sz val="12"/>
        <rFont val="Cambria"/>
        <family val="1"/>
      </rPr>
      <t>FILTER AND MODULE</t>
    </r>
    <phoneticPr fontId="97" type="noConversion"/>
  </si>
  <si>
    <t xml:space="preserve">No.37, Gongye S. Rd., Guantian Dist., Tainan City 72046, Taiwan </t>
  </si>
  <si>
    <t>poshiung.Hsu</t>
  </si>
  <si>
    <t>poshiung.Hsu@cirocomm.com.tw</t>
  </si>
  <si>
    <t>886-6-6992961#514</t>
  </si>
  <si>
    <t xml:space="preserve">kevin kuo </t>
  </si>
  <si>
    <t>QA manager</t>
  </si>
  <si>
    <t>kevinkuo@cirocomm.com.tw</t>
  </si>
  <si>
    <t>886-6-6992961#511</t>
  </si>
  <si>
    <t>PT Timah (Persero) Tbk Kundur</t>
  </si>
  <si>
    <t>Abrun Abubakar</t>
  </si>
  <si>
    <t>corsec@pttimah.co.id</t>
  </si>
  <si>
    <t>paper documentation review check</t>
  </si>
  <si>
    <t>owened by  PT TIMAH Tbk</t>
  </si>
  <si>
    <t>Hong Kong</t>
  </si>
  <si>
    <t>30 On Chuen Street</t>
  </si>
  <si>
    <t>chakyeung.lung@heraeus.com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</si>
</sst>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2" formatCode="_-&quot;$&quot;* #,##0_-;\-&quot;$&quot;* #,##0_-;_-&quot;$&quot;* &quot;-&quot;_-;_-@_-"/>
    <numFmt numFmtId="41" formatCode="_-* #,##0_-;\-* #,##0_-;_-* &quot;-&quot;_-;_-@_-"/>
    <numFmt numFmtId="44" formatCode="_-&quot;$&quot;* #,##0.00_-;\-&quot;$&quot;* #,##0.00_-;_-&quot;$&quot;*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409]mmmm\ d\,\ yyyy;@"/>
    <numFmt numFmtId="181" formatCode="[$-409]d\-mmm\-yyyy;@"/>
    <numFmt numFmtId="182" formatCode="0.0"/>
    <numFmt numFmtId="183" formatCode="_-* #,##0\ &quot;€&quot;_-;\-* #,##0\ &quot;€&quot;_-;_-* &quot;-&quot;\ &quot;€&quot;_-;_-@_-"/>
    <numFmt numFmtId="184" formatCode="_-* #,##0\ _€_-;\-* #,##0\ _€_-;_-* &quot;-&quot;\ _€_-;_-@_-"/>
    <numFmt numFmtId="185" formatCode="_-* #,##0.00\ &quot;€&quot;_-;\-* #,##0.00\ &quot;€&quot;_-;_-* &quot;-&quot;??\ &quot;€&quot;_-;_-@_-"/>
    <numFmt numFmtId="186" formatCode="_-* #,##0.00\ _€_-;\-* #,##0.00\ _€_-;_-* &quot;-&quot;??\ _€_-;_-@_-"/>
    <numFmt numFmtId="187" formatCode="_-&quot;€&quot;\ * #,##0_-;\-&quot;€&quot;\ * #,##0_-;_-&quot;€&quot;\ * &quot;-&quot;_-;_-@_-"/>
    <numFmt numFmtId="188" formatCode="_-&quot;€&quot;\ * #,##0.00_-;\-&quot;€&quot;\ * #,##0.00_-;_-&quot;€&quot;\ * &quot;-&quot;??_-;_-@_-"/>
  </numFmts>
  <fonts count="99">
    <font>
      <sz val="10"/>
      <name val="Verdana"/>
      <family val="2"/>
    </font>
    <font>
      <sz val="11"/>
      <color theme="1"/>
      <name val="新細明體"/>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新細明體"/>
      <family val="3"/>
      <charset val="128"/>
      <scheme val="minor"/>
    </font>
    <font>
      <sz val="11"/>
      <color theme="0"/>
      <name val="新細明體"/>
      <family val="3"/>
      <charset val="128"/>
      <scheme val="minor"/>
    </font>
    <font>
      <sz val="11"/>
      <color rgb="FF9C0006"/>
      <name val="ＭＳ Ｐゴシック"/>
      <family val="3"/>
      <charset val="128"/>
    </font>
    <font>
      <sz val="11"/>
      <color rgb="FF9C0006"/>
      <name val="新細明體"/>
      <family val="3"/>
      <charset val="128"/>
      <scheme val="minor"/>
    </font>
    <font>
      <b/>
      <sz val="11"/>
      <color rgb="FFFA7D00"/>
      <name val="新細明體"/>
      <family val="3"/>
      <charset val="128"/>
      <scheme val="minor"/>
    </font>
    <font>
      <b/>
      <sz val="11"/>
      <color theme="0"/>
      <name val="新細明體"/>
      <family val="3"/>
      <charset val="128"/>
      <scheme val="minor"/>
    </font>
    <font>
      <i/>
      <sz val="11"/>
      <color rgb="FF7F7F7F"/>
      <name val="新細明體"/>
      <family val="3"/>
      <charset val="128"/>
      <scheme val="minor"/>
    </font>
    <font>
      <sz val="11"/>
      <color rgb="FF006100"/>
      <name val="新細明體"/>
      <family val="3"/>
      <charset val="128"/>
      <scheme val="minor"/>
    </font>
    <font>
      <b/>
      <sz val="15"/>
      <color theme="3"/>
      <name val="新細明體"/>
      <family val="3"/>
      <charset val="128"/>
      <scheme val="minor"/>
    </font>
    <font>
      <b/>
      <sz val="13"/>
      <color theme="3"/>
      <name val="新細明體"/>
      <family val="3"/>
      <charset val="128"/>
      <scheme val="minor"/>
    </font>
    <font>
      <b/>
      <sz val="11"/>
      <color theme="3"/>
      <name val="新細明體"/>
      <family val="3"/>
      <charset val="128"/>
      <scheme val="minor"/>
    </font>
    <font>
      <u/>
      <sz val="10"/>
      <color theme="10"/>
      <name val="Arial"/>
      <family val="2"/>
    </font>
    <font>
      <u/>
      <sz val="11"/>
      <color theme="10"/>
      <name val="新細明體"/>
      <family val="3"/>
      <charset val="128"/>
      <scheme val="minor"/>
    </font>
    <font>
      <u/>
      <sz val="12"/>
      <color theme="10"/>
      <name val="新細明體"/>
      <family val="3"/>
      <charset val="128"/>
      <scheme val="minor"/>
    </font>
    <font>
      <sz val="11"/>
      <color rgb="FF3F3F76"/>
      <name val="新細明體"/>
      <family val="3"/>
      <charset val="128"/>
      <scheme val="minor"/>
    </font>
    <font>
      <sz val="11"/>
      <color rgb="FFFA7D00"/>
      <name val="新細明體"/>
      <family val="3"/>
      <charset val="128"/>
      <scheme val="minor"/>
    </font>
    <font>
      <sz val="11"/>
      <color rgb="FF9C6500"/>
      <name val="新細明體"/>
      <family val="3"/>
      <charset val="128"/>
      <scheme val="minor"/>
    </font>
    <font>
      <sz val="10"/>
      <color theme="1"/>
      <name val="ＭＳ Ｐゴシック"/>
      <family val="3"/>
      <charset val="128"/>
    </font>
    <font>
      <sz val="11"/>
      <color theme="1"/>
      <name val="ＭＳ Ｐゴシック"/>
      <family val="3"/>
      <charset val="128"/>
    </font>
    <font>
      <sz val="12"/>
      <color theme="1"/>
      <name val="新細明體"/>
      <family val="3"/>
      <charset val="128"/>
      <scheme val="minor"/>
    </font>
    <font>
      <b/>
      <sz val="11"/>
      <color rgb="FF3F3F3F"/>
      <name val="新細明體"/>
      <family val="3"/>
      <charset val="128"/>
      <scheme val="minor"/>
    </font>
    <font>
      <sz val="18"/>
      <color theme="3"/>
      <name val="新細明體"/>
      <family val="3"/>
      <charset val="128"/>
      <scheme val="major"/>
    </font>
    <font>
      <b/>
      <sz val="11"/>
      <color theme="1"/>
      <name val="新細明體"/>
      <family val="3"/>
      <charset val="128"/>
      <scheme val="minor"/>
    </font>
    <font>
      <sz val="11"/>
      <color rgb="FFFF0000"/>
      <name val="新細明體"/>
      <family val="3"/>
      <charset val="128"/>
      <scheme val="minor"/>
    </font>
    <font>
      <sz val="10"/>
      <color theme="1"/>
      <name val="Verdana"/>
      <family val="2"/>
    </font>
    <font>
      <sz val="10"/>
      <color theme="0" tint="-0.34995574816125979"/>
      <name val="Verdana"/>
      <family val="2"/>
    </font>
    <font>
      <sz val="11"/>
      <name val="新細明體"/>
      <family val="3"/>
      <charset val="128"/>
      <scheme val="minor"/>
    </font>
    <font>
      <sz val="10"/>
      <color rgb="FFFF0000"/>
      <name val="Verdana"/>
      <family val="2"/>
    </font>
    <font>
      <u/>
      <sz val="10"/>
      <color indexed="12"/>
      <name val="新細明體"/>
      <family val="3"/>
      <charset val="128"/>
      <scheme val="major"/>
    </font>
    <font>
      <sz val="10"/>
      <name val="新細明體"/>
      <family val="3"/>
      <charset val="128"/>
      <scheme val="major"/>
    </font>
    <font>
      <u/>
      <sz val="12"/>
      <color indexed="12"/>
      <name val="新細明體"/>
      <family val="3"/>
      <charset val="128"/>
      <scheme val="major"/>
    </font>
    <font>
      <sz val="12"/>
      <name val="新細明體"/>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新細明體"/>
      <family val="3"/>
      <charset val="128"/>
      <scheme val="minor"/>
    </font>
    <font>
      <sz val="12"/>
      <name val="Arial"/>
      <family val="2"/>
    </font>
    <font>
      <sz val="11"/>
      <name val="ＭＳ Ｐゴシック"/>
      <family val="2"/>
    </font>
    <font>
      <sz val="11"/>
      <color rgb="FF000000"/>
      <name val="Calibri"/>
      <family val="2"/>
    </font>
    <font>
      <sz val="9"/>
      <name val="細明體"/>
      <family val="3"/>
      <charset val="136"/>
    </font>
    <font>
      <sz val="12"/>
      <name val="細明體"/>
      <family val="3"/>
      <charset val="136"/>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77" fontId="10" fillId="0" borderId="0" applyFont="0" applyFill="0" applyBorder="0" applyAlignment="0" applyProtection="0"/>
    <xf numFmtId="41" fontId="10" fillId="0" borderId="0" applyFont="0" applyFill="0" applyBorder="0" applyAlignment="0" applyProtection="0"/>
    <xf numFmtId="184"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6" fontId="10" fillId="0" borderId="0" applyFont="0" applyFill="0" applyBorder="0" applyAlignment="0" applyProtection="0"/>
    <xf numFmtId="42" fontId="10" fillId="0" borderId="0" applyFont="0" applyFill="0" applyBorder="0" applyAlignment="0" applyProtection="0"/>
    <xf numFmtId="183" fontId="10" fillId="0" borderId="0" applyFont="0" applyFill="0" applyBorder="0" applyAlignment="0" applyProtection="0"/>
    <xf numFmtId="187"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7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0"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80" fontId="2" fillId="0" borderId="0"/>
    <xf numFmtId="0" fontId="90" fillId="0" borderId="0"/>
    <xf numFmtId="0" fontId="90" fillId="0" borderId="0"/>
    <xf numFmtId="180"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80" fontId="2" fillId="0" borderId="0"/>
    <xf numFmtId="0" fontId="7" fillId="0" borderId="0"/>
    <xf numFmtId="180" fontId="90" fillId="0" borderId="0"/>
    <xf numFmtId="0" fontId="55" fillId="0" borderId="0"/>
    <xf numFmtId="0" fontId="55" fillId="0" borderId="0"/>
    <xf numFmtId="180" fontId="7" fillId="0" borderId="0"/>
    <xf numFmtId="0" fontId="55" fillId="0" borderId="0"/>
    <xf numFmtId="0" fontId="7" fillId="0" borderId="0"/>
    <xf numFmtId="0" fontId="55" fillId="0" borderId="0"/>
    <xf numFmtId="0" fontId="72" fillId="0" borderId="0">
      <alignment vertical="center"/>
    </xf>
    <xf numFmtId="180"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80" fontId="2" fillId="0" borderId="0"/>
    <xf numFmtId="180"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80" fontId="10" fillId="0" borderId="0"/>
    <xf numFmtId="0" fontId="90" fillId="0" borderId="0"/>
    <xf numFmtId="0" fontId="90" fillId="0" borderId="0"/>
    <xf numFmtId="0" fontId="90" fillId="0" borderId="0"/>
    <xf numFmtId="180" fontId="90" fillId="0" borderId="0"/>
    <xf numFmtId="0" fontId="1" fillId="0" borderId="0"/>
  </cellStyleXfs>
  <cellXfs count="451">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80"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81"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82"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80"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80" fontId="0" fillId="33" borderId="13" xfId="0" applyNumberFormat="1" applyFont="1" applyFill="1" applyBorder="1" applyAlignment="1">
      <alignment vertical="top" wrapText="1"/>
    </xf>
    <xf numFmtId="180" fontId="0" fillId="33" borderId="0" xfId="0" applyNumberFormat="1" applyFont="1" applyFill="1" applyBorder="1" applyAlignment="1"/>
    <xf numFmtId="180" fontId="9" fillId="33" borderId="0" xfId="0" applyNumberFormat="1" applyFont="1" applyFill="1" applyBorder="1"/>
    <xf numFmtId="180" fontId="14" fillId="33" borderId="0" xfId="0" applyNumberFormat="1" applyFont="1" applyFill="1" applyBorder="1" applyAlignment="1">
      <alignment horizontal="center" vertical="center" wrapText="1"/>
    </xf>
    <xf numFmtId="180" fontId="11" fillId="33" borderId="0" xfId="0" applyNumberFormat="1" applyFont="1" applyFill="1" applyBorder="1" applyAlignment="1">
      <alignment horizontal="center" vertical="center"/>
    </xf>
    <xf numFmtId="180" fontId="0" fillId="33" borderId="0" xfId="0" applyNumberFormat="1" applyFont="1" applyFill="1" applyBorder="1"/>
    <xf numFmtId="180" fontId="27" fillId="33" borderId="20" xfId="570" applyNumberFormat="1" applyFont="1" applyFill="1" applyBorder="1" applyAlignment="1">
      <alignment horizontal="center" vertical="center" wrapText="1"/>
    </xf>
    <xf numFmtId="180" fontId="0" fillId="0" borderId="0" xfId="0" applyNumberFormat="1" applyFont="1" applyFill="1" applyBorder="1"/>
    <xf numFmtId="180"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82"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80" fontId="53" fillId="0" borderId="0" xfId="480" applyFont="1" applyFill="1" applyAlignment="1">
      <alignment horizontal="left" vertical="top" wrapText="1"/>
    </xf>
    <xf numFmtId="180"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80"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80"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80" fontId="53" fillId="0" borderId="0" xfId="480" applyFont="1" applyFill="1" applyBorder="1" applyAlignment="1">
      <alignment vertical="top" wrapText="1"/>
    </xf>
    <xf numFmtId="0" fontId="94" fillId="0" borderId="0" xfId="0" applyFont="1"/>
    <xf numFmtId="180"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80"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180" fontId="25" fillId="33" borderId="48" xfId="570" applyNumberFormat="1" applyFont="1" applyFill="1" applyBorder="1" applyAlignment="1">
      <alignment horizontal="center" vertical="top" wrapText="1"/>
    </xf>
    <xf numFmtId="180" fontId="25" fillId="33" borderId="49" xfId="570" applyNumberFormat="1" applyFont="1" applyFill="1" applyBorder="1" applyAlignment="1">
      <alignment horizontal="center" vertical="top" wrapText="1"/>
    </xf>
    <xf numFmtId="180"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80" fontId="25" fillId="0" borderId="48" xfId="570" applyNumberFormat="1" applyFont="1" applyFill="1" applyBorder="1" applyAlignment="1">
      <alignment horizontal="center" vertical="top" wrapText="1"/>
    </xf>
    <xf numFmtId="180" fontId="25" fillId="0" borderId="49" xfId="570" applyNumberFormat="1" applyFont="1" applyFill="1" applyBorder="1" applyAlignment="1">
      <alignment horizontal="center" vertical="top" wrapText="1"/>
    </xf>
    <xf numFmtId="180"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81" fontId="14" fillId="33" borderId="34" xfId="0" applyNumberFormat="1" applyFont="1" applyFill="1" applyBorder="1" applyAlignment="1" applyProtection="1">
      <alignment horizontal="center" wrapText="1"/>
      <protection locked="0"/>
    </xf>
    <xf numFmtId="181"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Comma [0] 2" xfId="29"/>
    <cellStyle name="Comma [0] 3" xfId="30"/>
    <cellStyle name="Comma [0] 4" xfId="31"/>
    <cellStyle name="Comma 10" xfId="3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0" xfId="44"/>
    <cellStyle name="Comma 111" xfId="45"/>
    <cellStyle name="Comma 112" xfId="46"/>
    <cellStyle name="Comma 113" xfId="47"/>
    <cellStyle name="Comma 114" xfId="48"/>
    <cellStyle name="Comma 115" xfId="49"/>
    <cellStyle name="Comma 116" xfId="50"/>
    <cellStyle name="Comma 117" xfId="51"/>
    <cellStyle name="Comma 118" xfId="52"/>
    <cellStyle name="Comma 119" xfId="53"/>
    <cellStyle name="Comma 12" xfId="54"/>
    <cellStyle name="Comma 120" xfId="55"/>
    <cellStyle name="Comma 121" xfId="56"/>
    <cellStyle name="Comma 122" xfId="57"/>
    <cellStyle name="Comma 123" xfId="58"/>
    <cellStyle name="Comma 124" xfId="59"/>
    <cellStyle name="Comma 125" xfId="60"/>
    <cellStyle name="Comma 126" xfId="61"/>
    <cellStyle name="Comma 127" xfId="62"/>
    <cellStyle name="Comma 128" xfId="63"/>
    <cellStyle name="Comma 129" xfId="64"/>
    <cellStyle name="Comma 13" xfId="65"/>
    <cellStyle name="Comma 130" xfId="66"/>
    <cellStyle name="Comma 131" xfId="67"/>
    <cellStyle name="Comma 132" xfId="68"/>
    <cellStyle name="Comma 133" xfId="69"/>
    <cellStyle name="Comma 134" xfId="70"/>
    <cellStyle name="Comma 135" xfId="71"/>
    <cellStyle name="Comma 136" xfId="72"/>
    <cellStyle name="Comma 137" xfId="73"/>
    <cellStyle name="Comma 138" xfId="74"/>
    <cellStyle name="Comma 139" xfId="75"/>
    <cellStyle name="Comma 14" xfId="76"/>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0" xfId="99"/>
    <cellStyle name="Comma 161" xfId="100"/>
    <cellStyle name="Comma 162" xfId="101"/>
    <cellStyle name="Comma 163" xfId="102"/>
    <cellStyle name="Comma 164" xfId="103"/>
    <cellStyle name="Comma 165" xfId="104"/>
    <cellStyle name="Comma 166" xfId="105"/>
    <cellStyle name="Comma 167" xfId="106"/>
    <cellStyle name="Comma 168" xfId="107"/>
    <cellStyle name="Comma 169" xfId="108"/>
    <cellStyle name="Comma 17" xfId="109"/>
    <cellStyle name="Comma 170" xfId="110"/>
    <cellStyle name="Comma 171" xfId="111"/>
    <cellStyle name="Comma 172" xfId="112"/>
    <cellStyle name="Comma 173" xfId="113"/>
    <cellStyle name="Comma 174" xfId="114"/>
    <cellStyle name="Comma 175" xfId="115"/>
    <cellStyle name="Comma 176" xfId="116"/>
    <cellStyle name="Comma 177" xfId="117"/>
    <cellStyle name="Comma 178" xfId="118"/>
    <cellStyle name="Comma 179" xfId="119"/>
    <cellStyle name="Comma 18" xfId="120"/>
    <cellStyle name="Comma 180" xfId="121"/>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0" xfId="143"/>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0" xfId="166"/>
    <cellStyle name="Comma 221" xfId="167"/>
    <cellStyle name="Comma 222" xfId="168"/>
    <cellStyle name="Comma 223" xfId="169"/>
    <cellStyle name="Comma 23" xfId="170"/>
    <cellStyle name="Comma 24" xfId="171"/>
    <cellStyle name="Comma 25" xfId="172"/>
    <cellStyle name="Comma 26" xfId="173"/>
    <cellStyle name="Comma 27" xfId="174"/>
    <cellStyle name="Comma 28" xfId="175"/>
    <cellStyle name="Comma 29" xfId="176"/>
    <cellStyle name="Comma 3" xfId="177"/>
    <cellStyle name="Comma 30" xfId="178"/>
    <cellStyle name="Comma 31" xfId="179"/>
    <cellStyle name="Comma 32" xfId="180"/>
    <cellStyle name="Comma 33" xfId="181"/>
    <cellStyle name="Comma 34" xfId="182"/>
    <cellStyle name="Comma 35" xfId="183"/>
    <cellStyle name="Comma 36" xfId="184"/>
    <cellStyle name="Comma 37" xfId="185"/>
    <cellStyle name="Comma 38" xfId="186"/>
    <cellStyle name="Comma 39" xfId="187"/>
    <cellStyle name="Comma 4" xfId="18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7" xfId="221"/>
    <cellStyle name="Comma 70" xfId="222"/>
    <cellStyle name="Comma 71" xfId="223"/>
    <cellStyle name="Comma 72" xfId="224"/>
    <cellStyle name="Comma 73" xfId="225"/>
    <cellStyle name="Comma 74" xfId="226"/>
    <cellStyle name="Comma 75" xfId="227"/>
    <cellStyle name="Comma 76" xfId="228"/>
    <cellStyle name="Comma 77" xfId="229"/>
    <cellStyle name="Comma 78" xfId="230"/>
    <cellStyle name="Comma 79" xfId="231"/>
    <cellStyle name="Comma 8" xfId="232"/>
    <cellStyle name="Comma 80" xfId="233"/>
    <cellStyle name="Comma 81" xfId="234"/>
    <cellStyle name="Comma 82" xfId="235"/>
    <cellStyle name="Comma 83" xfId="236"/>
    <cellStyle name="Comma 84" xfId="237"/>
    <cellStyle name="Comma 85" xfId="238"/>
    <cellStyle name="Comma 86" xfId="239"/>
    <cellStyle name="Comma 87" xfId="240"/>
    <cellStyle name="Comma 88" xfId="241"/>
    <cellStyle name="Comma 89" xfId="242"/>
    <cellStyle name="Comma 9" xfId="243"/>
    <cellStyle name="Comma 90" xfId="244"/>
    <cellStyle name="Comma 91" xfId="245"/>
    <cellStyle name="Comma 92" xfId="246"/>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Good 2" xfId="482"/>
    <cellStyle name="Heading 1 2" xfId="483"/>
    <cellStyle name="Heading 2 2" xfId="484"/>
    <cellStyle name="Heading 3 2" xfId="485"/>
    <cellStyle name="Heading 4 2" xfId="486"/>
    <cellStyle name="Hyperlink 2" xfId="488"/>
    <cellStyle name="Hyperlink 3" xfId="489"/>
    <cellStyle name="Hyperlink 4" xfId="490"/>
    <cellStyle name="Hyperlink 5" xfId="491"/>
    <cellStyle name="Hyperlink 5 2" xfId="492"/>
    <cellStyle name="Hyperlink 6" xfId="493"/>
    <cellStyle name="Hyperlink 7" xfId="494"/>
    <cellStyle name="Input 2" xfId="495"/>
    <cellStyle name="Linked Cell 2" xfId="496"/>
    <cellStyle name="Neutral 2" xfId="497"/>
    <cellStyle name="Normal 10" xfId="498"/>
    <cellStyle name="Normal 100" xfId="499"/>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3" xfId="508"/>
    <cellStyle name="Normal 13 3" xfId="509"/>
    <cellStyle name="Normal 13 3 2" xfId="510"/>
    <cellStyle name="Normal 13 4" xfId="511"/>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3" xfId="520"/>
    <cellStyle name="Normal 2 3" xfId="521"/>
    <cellStyle name="Normal 2 3 2" xfId="522"/>
    <cellStyle name="Normal 2 4" xfId="523"/>
    <cellStyle name="Normal 2 4 2" xfId="524"/>
    <cellStyle name="Normal 2 5" xfId="525"/>
    <cellStyle name="Normal 23" xfId="526"/>
    <cellStyle name="Normal 3" xfId="527"/>
    <cellStyle name="Normal 3 2" xfId="528"/>
    <cellStyle name="Normal 3 2 11" xfId="529"/>
    <cellStyle name="Normal 3 3" xfId="530"/>
    <cellStyle name="Normal 3 4" xfId="531"/>
    <cellStyle name="Normal 3 8" xfId="532"/>
    <cellStyle name="Normal 3 8 2" xfId="533"/>
    <cellStyle name="Normal 3 8 2 2" xfId="534"/>
    <cellStyle name="Normal 3 8 3" xfId="535"/>
    <cellStyle name="Normal 4" xfId="536"/>
    <cellStyle name="Normal 4 2" xfId="537"/>
    <cellStyle name="Normal 4 3" xfId="538"/>
    <cellStyle name="Normal 4 4" xfId="539"/>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3" xfId="566"/>
    <cellStyle name="Normal 7" xfId="567"/>
    <cellStyle name="Normal 7 2" xfId="568"/>
    <cellStyle name="Normal 8" xfId="569"/>
    <cellStyle name="Normal 9" xfId="592"/>
    <cellStyle name="Normal_Sheet1" xfId="570"/>
    <cellStyle name="Note 2" xfId="571"/>
    <cellStyle name="Output 2" xfId="572"/>
    <cellStyle name="Percent 2" xfId="573"/>
    <cellStyle name="Standard 3" xfId="574"/>
    <cellStyle name="Standard 4" xfId="575"/>
    <cellStyle name="Standard 4 2" xfId="576"/>
    <cellStyle name="Standard 4 2 2" xfId="577"/>
    <cellStyle name="Standard 4 2 2 2" xfId="578"/>
    <cellStyle name="Standard 4 2 3" xfId="579"/>
    <cellStyle name="Standard 4 3" xfId="580"/>
    <cellStyle name="Standard 4 3 2" xfId="581"/>
    <cellStyle name="Standard 4 4" xfId="582"/>
    <cellStyle name="Standard 6" xfId="583"/>
    <cellStyle name="Title 2" xfId="584"/>
    <cellStyle name="Total 2" xfId="585"/>
    <cellStyle name="Warning Text 2" xfId="586"/>
    <cellStyle name="一般" xfId="0" builtinId="0"/>
    <cellStyle name="一般 7" xfId="588"/>
    <cellStyle name="超連結" xfId="487" builtinId="8"/>
    <cellStyle name="標準 2" xfId="589"/>
    <cellStyle name="標準 2 2" xfId="590"/>
    <cellStyle name="標準 2 3" xfId="591"/>
    <cellStyle name="표준 2" xfId="587"/>
  </cellStyles>
  <dxfs count="112">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48"/>
      <c r="B2" s="38" t="s">
        <v>870</v>
      </c>
      <c r="C2" s="36"/>
      <c r="D2" s="208"/>
      <c r="E2" s="3"/>
      <c r="F2" s="36"/>
      <c r="G2" s="34"/>
    </row>
    <row r="3" spans="1:7">
      <c r="A3" s="348"/>
      <c r="B3" s="5" t="s">
        <v>862</v>
      </c>
      <c r="C3" s="6"/>
      <c r="D3" s="209"/>
      <c r="E3" s="3"/>
      <c r="F3" s="6"/>
      <c r="G3" s="34"/>
    </row>
    <row r="4" spans="1:7" ht="15.75">
      <c r="A4" s="348"/>
      <c r="B4" s="41" t="s">
        <v>872</v>
      </c>
      <c r="C4" s="7"/>
      <c r="D4" s="210"/>
      <c r="E4" s="3"/>
      <c r="F4" s="7"/>
      <c r="G4" s="34"/>
    </row>
    <row r="5" spans="1:7">
      <c r="A5" s="348"/>
      <c r="B5" s="40" t="s">
        <v>1063</v>
      </c>
      <c r="C5" s="4"/>
      <c r="D5" s="211"/>
      <c r="E5" s="3"/>
      <c r="F5" s="4"/>
      <c r="G5" s="34"/>
    </row>
    <row r="6" spans="1:7">
      <c r="A6" s="348"/>
      <c r="B6" s="8"/>
      <c r="C6" s="8"/>
      <c r="D6" s="212"/>
      <c r="E6" s="8"/>
      <c r="F6" s="8"/>
      <c r="G6" s="34"/>
    </row>
    <row r="7" spans="1:7">
      <c r="A7" s="348"/>
      <c r="B7" s="8"/>
      <c r="C7" s="8"/>
      <c r="D7" s="212"/>
      <c r="E7" s="8"/>
      <c r="F7" s="8"/>
      <c r="G7" s="34"/>
    </row>
    <row r="8" spans="1:7">
      <c r="A8" s="348"/>
      <c r="B8" s="8"/>
      <c r="C8" s="8"/>
      <c r="D8" s="212"/>
      <c r="E8" s="8"/>
      <c r="F8" s="8"/>
      <c r="G8" s="34"/>
    </row>
    <row r="9" spans="1:7">
      <c r="A9" s="348"/>
      <c r="B9" s="351" t="s">
        <v>873</v>
      </c>
      <c r="C9" s="351"/>
      <c r="D9" s="351"/>
      <c r="E9" s="351"/>
      <c r="F9" s="351"/>
      <c r="G9" s="34"/>
    </row>
    <row r="10" spans="1:7" ht="27" customHeight="1">
      <c r="A10" s="348"/>
      <c r="B10" s="352" t="s">
        <v>448</v>
      </c>
      <c r="C10" s="352"/>
      <c r="D10" s="352"/>
      <c r="E10" s="352"/>
      <c r="F10" s="352"/>
      <c r="G10" s="34"/>
    </row>
    <row r="11" spans="1:7" ht="27" customHeight="1">
      <c r="A11" s="348"/>
      <c r="B11" s="353"/>
      <c r="C11" s="353"/>
      <c r="D11" s="353"/>
      <c r="E11" s="353"/>
      <c r="F11" s="353"/>
      <c r="G11" s="34"/>
    </row>
    <row r="12" spans="1:7">
      <c r="A12" s="348"/>
      <c r="B12" s="42" t="s">
        <v>871</v>
      </c>
      <c r="C12" s="43" t="s">
        <v>874</v>
      </c>
      <c r="D12" s="213" t="s">
        <v>875</v>
      </c>
      <c r="E12" s="43" t="s">
        <v>628</v>
      </c>
      <c r="F12" s="43" t="s">
        <v>629</v>
      </c>
      <c r="G12" s="34"/>
    </row>
    <row r="13" spans="1:7" ht="33.75">
      <c r="A13" s="348"/>
      <c r="B13" s="2">
        <v>1</v>
      </c>
      <c r="C13" s="37" t="s">
        <v>1111</v>
      </c>
      <c r="D13" s="39" t="s">
        <v>899</v>
      </c>
      <c r="E13" s="196" t="s">
        <v>876</v>
      </c>
      <c r="F13" s="196"/>
      <c r="G13" s="34"/>
    </row>
    <row r="14" spans="1:7" ht="33.75">
      <c r="A14" s="348"/>
      <c r="B14" s="2">
        <v>2</v>
      </c>
      <c r="C14" s="37" t="s">
        <v>1111</v>
      </c>
      <c r="D14" s="39" t="s">
        <v>1048</v>
      </c>
      <c r="E14" s="196" t="s">
        <v>540</v>
      </c>
      <c r="F14" s="196" t="s">
        <v>541</v>
      </c>
      <c r="G14" s="34"/>
    </row>
    <row r="15" spans="1:7" ht="89.1" customHeight="1">
      <c r="A15" s="348"/>
      <c r="B15" s="354">
        <v>2.0099999999999998</v>
      </c>
      <c r="C15" s="357" t="s">
        <v>1111</v>
      </c>
      <c r="D15" s="360" t="s">
        <v>2358</v>
      </c>
      <c r="E15" s="197" t="s">
        <v>630</v>
      </c>
      <c r="F15" s="197" t="s">
        <v>633</v>
      </c>
      <c r="G15" s="34"/>
    </row>
    <row r="16" spans="1:7" ht="99" customHeight="1">
      <c r="A16" s="348"/>
      <c r="B16" s="355"/>
      <c r="C16" s="358"/>
      <c r="D16" s="361"/>
      <c r="E16" s="198"/>
      <c r="F16" s="198" t="s">
        <v>631</v>
      </c>
      <c r="G16" s="34"/>
    </row>
    <row r="17" spans="1:7" ht="63" customHeight="1">
      <c r="A17" s="348"/>
      <c r="B17" s="356"/>
      <c r="C17" s="359"/>
      <c r="D17" s="362"/>
      <c r="E17" s="37"/>
      <c r="F17" s="37" t="s">
        <v>632</v>
      </c>
      <c r="G17" s="34"/>
    </row>
    <row r="18" spans="1:7" ht="117" customHeight="1">
      <c r="A18" s="348"/>
      <c r="B18" s="354">
        <v>2.02</v>
      </c>
      <c r="C18" s="357" t="s">
        <v>1111</v>
      </c>
      <c r="D18" s="360" t="s">
        <v>2359</v>
      </c>
      <c r="E18" s="197" t="s">
        <v>449</v>
      </c>
      <c r="F18" s="197" t="s">
        <v>535</v>
      </c>
      <c r="G18" s="34"/>
    </row>
    <row r="19" spans="1:7" ht="71.099999999999994" customHeight="1">
      <c r="A19" s="348"/>
      <c r="B19" s="355"/>
      <c r="C19" s="358"/>
      <c r="D19" s="361"/>
      <c r="E19" s="198" t="s">
        <v>539</v>
      </c>
      <c r="F19" s="198" t="s">
        <v>450</v>
      </c>
      <c r="G19" s="34"/>
    </row>
    <row r="20" spans="1:7" ht="90.75" customHeight="1">
      <c r="A20" s="348"/>
      <c r="B20" s="355"/>
      <c r="C20" s="358"/>
      <c r="D20" s="361"/>
      <c r="E20" s="198"/>
      <c r="F20" s="198" t="s">
        <v>635</v>
      </c>
      <c r="G20" s="34"/>
    </row>
    <row r="21" spans="1:7" ht="74.25" customHeight="1">
      <c r="A21" s="348"/>
      <c r="B21" s="356"/>
      <c r="C21" s="359"/>
      <c r="D21" s="362"/>
      <c r="E21" s="37"/>
      <c r="F21" s="37" t="s">
        <v>634</v>
      </c>
      <c r="G21" s="34"/>
    </row>
    <row r="22" spans="1:7" ht="90" customHeight="1">
      <c r="A22" s="348"/>
      <c r="B22" s="366">
        <v>2.0299999999999998</v>
      </c>
      <c r="C22" s="366" t="s">
        <v>845</v>
      </c>
      <c r="D22" s="369" t="s">
        <v>2360</v>
      </c>
      <c r="E22" s="357" t="s">
        <v>447</v>
      </c>
      <c r="F22" s="197" t="s">
        <v>470</v>
      </c>
      <c r="G22" s="34"/>
    </row>
    <row r="23" spans="1:7" ht="109.5" customHeight="1">
      <c r="A23" s="348"/>
      <c r="B23" s="367"/>
      <c r="C23" s="367"/>
      <c r="D23" s="370"/>
      <c r="E23" s="358"/>
      <c r="F23" s="198" t="s">
        <v>846</v>
      </c>
      <c r="G23" s="34"/>
    </row>
    <row r="24" spans="1:7" ht="74.25" customHeight="1">
      <c r="A24" s="348"/>
      <c r="B24" s="368"/>
      <c r="C24" s="368"/>
      <c r="D24" s="371"/>
      <c r="E24" s="359"/>
      <c r="F24" s="37" t="s">
        <v>446</v>
      </c>
      <c r="G24" s="34"/>
    </row>
    <row r="25" spans="1:7" ht="72" customHeight="1">
      <c r="A25" s="348"/>
      <c r="B25" s="2" t="s">
        <v>468</v>
      </c>
      <c r="C25" s="37" t="s">
        <v>469</v>
      </c>
      <c r="D25" s="39" t="s">
        <v>2361</v>
      </c>
      <c r="E25" s="37" t="s">
        <v>2356</v>
      </c>
      <c r="F25" s="37" t="s">
        <v>471</v>
      </c>
      <c r="G25" s="34"/>
    </row>
    <row r="26" spans="1:7" ht="98.1" customHeight="1">
      <c r="A26" s="348"/>
      <c r="B26" s="363">
        <v>3</v>
      </c>
      <c r="C26" s="354" t="s">
        <v>72</v>
      </c>
      <c r="D26" s="360" t="s">
        <v>2362</v>
      </c>
      <c r="E26" s="357" t="s">
        <v>0</v>
      </c>
      <c r="F26" s="197" t="s">
        <v>66</v>
      </c>
      <c r="G26" s="34"/>
    </row>
    <row r="27" spans="1:7" ht="90" customHeight="1">
      <c r="A27" s="348"/>
      <c r="B27" s="364"/>
      <c r="C27" s="355"/>
      <c r="D27" s="361"/>
      <c r="E27" s="358"/>
      <c r="F27" s="198" t="s">
        <v>61</v>
      </c>
      <c r="G27" s="34"/>
    </row>
    <row r="28" spans="1:7" ht="19.350000000000001" customHeight="1">
      <c r="A28" s="348"/>
      <c r="B28" s="364"/>
      <c r="C28" s="355"/>
      <c r="D28" s="361"/>
      <c r="E28" s="358"/>
      <c r="F28" s="198" t="s">
        <v>62</v>
      </c>
      <c r="G28" s="34"/>
    </row>
    <row r="29" spans="1:7" ht="74.45" customHeight="1">
      <c r="A29" s="348"/>
      <c r="B29" s="364"/>
      <c r="C29" s="355"/>
      <c r="D29" s="361"/>
      <c r="E29" s="358"/>
      <c r="F29" s="198" t="s">
        <v>63</v>
      </c>
      <c r="G29" s="34"/>
    </row>
    <row r="30" spans="1:7" ht="62.45" customHeight="1">
      <c r="A30" s="348"/>
      <c r="B30" s="364"/>
      <c r="C30" s="355"/>
      <c r="D30" s="361"/>
      <c r="E30" s="358"/>
      <c r="F30" s="198" t="s">
        <v>64</v>
      </c>
      <c r="G30" s="34"/>
    </row>
    <row r="31" spans="1:7" ht="81" customHeight="1">
      <c r="A31" s="348"/>
      <c r="B31" s="364"/>
      <c r="C31" s="355"/>
      <c r="D31" s="361"/>
      <c r="E31" s="358"/>
      <c r="F31" s="198" t="s">
        <v>65</v>
      </c>
      <c r="G31" s="34"/>
    </row>
    <row r="32" spans="1:7" ht="48.75" customHeight="1">
      <c r="A32" s="348"/>
      <c r="B32" s="364"/>
      <c r="C32" s="355"/>
      <c r="D32" s="361"/>
      <c r="E32" s="358"/>
      <c r="F32" s="198" t="s">
        <v>68</v>
      </c>
      <c r="G32" s="34"/>
    </row>
    <row r="33" spans="1:7" ht="98.45" customHeight="1">
      <c r="A33" s="348"/>
      <c r="B33" s="364"/>
      <c r="C33" s="355"/>
      <c r="D33" s="361"/>
      <c r="E33" s="358"/>
      <c r="F33" s="198" t="s">
        <v>67</v>
      </c>
      <c r="G33" s="34"/>
    </row>
    <row r="34" spans="1:7" ht="89.1" customHeight="1">
      <c r="A34" s="348"/>
      <c r="B34" s="364"/>
      <c r="C34" s="355"/>
      <c r="D34" s="361"/>
      <c r="E34" s="358"/>
      <c r="F34" s="198" t="s">
        <v>69</v>
      </c>
      <c r="G34" s="34"/>
    </row>
    <row r="35" spans="1:7" ht="29.1" customHeight="1">
      <c r="A35" s="348"/>
      <c r="B35" s="364"/>
      <c r="C35" s="355"/>
      <c r="D35" s="361"/>
      <c r="E35" s="358"/>
      <c r="F35" s="198" t="s">
        <v>70</v>
      </c>
      <c r="G35" s="34"/>
    </row>
    <row r="36" spans="1:7" ht="126.75">
      <c r="A36" s="348"/>
      <c r="B36" s="365"/>
      <c r="C36" s="356"/>
      <c r="D36" s="362"/>
      <c r="E36" s="359"/>
      <c r="F36" s="199" t="s">
        <v>71</v>
      </c>
      <c r="G36" s="34"/>
    </row>
    <row r="37" spans="1:7" ht="112.5">
      <c r="A37" s="348"/>
      <c r="B37" s="171">
        <v>3.01</v>
      </c>
      <c r="C37" s="172" t="s">
        <v>72</v>
      </c>
      <c r="D37" s="39" t="s">
        <v>2363</v>
      </c>
      <c r="E37" s="200" t="s">
        <v>1351</v>
      </c>
      <c r="F37" s="201" t="s">
        <v>1457</v>
      </c>
      <c r="G37" s="34"/>
    </row>
    <row r="38" spans="1:7" ht="101.25">
      <c r="A38" s="348"/>
      <c r="B38" s="171">
        <v>3.02</v>
      </c>
      <c r="C38" s="172" t="s">
        <v>1384</v>
      </c>
      <c r="D38" s="39" t="s">
        <v>2364</v>
      </c>
      <c r="E38" s="200" t="s">
        <v>1399</v>
      </c>
      <c r="F38" s="201" t="s">
        <v>1458</v>
      </c>
      <c r="G38" s="34"/>
    </row>
    <row r="39" spans="1:7" ht="101.25">
      <c r="A39" s="348"/>
      <c r="B39" s="182">
        <v>4</v>
      </c>
      <c r="C39" s="181" t="s">
        <v>1554</v>
      </c>
      <c r="D39" s="39" t="s">
        <v>2365</v>
      </c>
      <c r="E39" s="37" t="s">
        <v>2307</v>
      </c>
      <c r="F39" s="37" t="s">
        <v>1555</v>
      </c>
      <c r="G39" s="34"/>
    </row>
    <row r="40" spans="1:7" ht="56.25">
      <c r="A40" s="348"/>
      <c r="B40" s="171">
        <v>4.01</v>
      </c>
      <c r="C40" s="181" t="s">
        <v>1554</v>
      </c>
      <c r="D40" s="39" t="s">
        <v>2367</v>
      </c>
      <c r="E40" s="37" t="s">
        <v>2321</v>
      </c>
      <c r="F40" s="37" t="s">
        <v>2326</v>
      </c>
      <c r="G40" s="34"/>
    </row>
    <row r="41" spans="1:7" ht="56.25">
      <c r="A41" s="348"/>
      <c r="B41" s="171" t="s">
        <v>2354</v>
      </c>
      <c r="C41" s="181" t="s">
        <v>1554</v>
      </c>
      <c r="D41" s="39" t="s">
        <v>2366</v>
      </c>
      <c r="E41" s="37" t="s">
        <v>2357</v>
      </c>
      <c r="F41" s="37" t="s">
        <v>2355</v>
      </c>
      <c r="G41" s="34"/>
    </row>
    <row r="42" spans="1:7" ht="56.25">
      <c r="A42" s="348"/>
      <c r="B42" s="171" t="s">
        <v>2399</v>
      </c>
      <c r="C42" s="181" t="s">
        <v>1554</v>
      </c>
      <c r="D42" s="39" t="s">
        <v>2406</v>
      </c>
      <c r="E42" s="37" t="s">
        <v>2356</v>
      </c>
      <c r="F42" s="37" t="s">
        <v>2400</v>
      </c>
      <c r="G42" s="34"/>
    </row>
    <row r="43" spans="1:7" ht="123.75">
      <c r="A43" s="348"/>
      <c r="B43" s="193">
        <v>4.0999999999999996</v>
      </c>
      <c r="C43" s="181" t="s">
        <v>2405</v>
      </c>
      <c r="D43" s="194">
        <v>42867</v>
      </c>
      <c r="E43" s="202" t="s">
        <v>2408</v>
      </c>
      <c r="F43" s="37" t="s">
        <v>2407</v>
      </c>
      <c r="G43" s="34"/>
    </row>
    <row r="44" spans="1:7" ht="78.75">
      <c r="A44" s="348"/>
      <c r="B44" s="193">
        <v>4.2</v>
      </c>
      <c r="C44" s="181" t="s">
        <v>2405</v>
      </c>
      <c r="D44" s="194">
        <v>42704</v>
      </c>
      <c r="E44" s="202" t="s">
        <v>2625</v>
      </c>
      <c r="F44" s="37" t="s">
        <v>2598</v>
      </c>
      <c r="G44" s="34"/>
    </row>
    <row r="45" spans="1:7" ht="157.5">
      <c r="A45" s="348"/>
      <c r="B45" s="243">
        <v>5</v>
      </c>
      <c r="C45" s="181" t="s">
        <v>2405</v>
      </c>
      <c r="D45" s="194">
        <v>42867</v>
      </c>
      <c r="E45" s="202" t="s">
        <v>13032</v>
      </c>
      <c r="F45" s="37" t="s">
        <v>12754</v>
      </c>
      <c r="G45" s="34"/>
    </row>
    <row r="46" spans="1:7" ht="45">
      <c r="A46" s="348"/>
      <c r="B46" s="193">
        <v>5.01</v>
      </c>
      <c r="C46" s="181" t="s">
        <v>2405</v>
      </c>
      <c r="D46" s="194">
        <v>42907</v>
      </c>
      <c r="E46" s="202" t="s">
        <v>13052</v>
      </c>
      <c r="F46" s="37" t="s">
        <v>12754</v>
      </c>
      <c r="G46" s="34"/>
    </row>
    <row r="47" spans="1:7" ht="67.5">
      <c r="A47" s="348"/>
      <c r="B47" s="193">
        <v>5.0999999999999996</v>
      </c>
      <c r="C47" s="181" t="s">
        <v>2405</v>
      </c>
      <c r="D47" s="194">
        <v>43070</v>
      </c>
      <c r="E47" s="202" t="s">
        <v>13247</v>
      </c>
      <c r="F47" s="37" t="s">
        <v>13248</v>
      </c>
      <c r="G47" s="34"/>
    </row>
    <row r="48" spans="1:7" ht="56.25">
      <c r="A48" s="348"/>
      <c r="B48" s="193">
        <v>5.1100000000000003</v>
      </c>
      <c r="C48" s="181" t="s">
        <v>13489</v>
      </c>
      <c r="D48" s="194">
        <v>43217</v>
      </c>
      <c r="E48" s="202" t="s">
        <v>13617</v>
      </c>
      <c r="F48" s="37" t="s">
        <v>13523</v>
      </c>
      <c r="G48" s="34"/>
    </row>
    <row r="49" spans="1:7" ht="56.25">
      <c r="A49" s="348"/>
      <c r="B49" s="193">
        <v>5.12</v>
      </c>
      <c r="C49" s="181" t="s">
        <v>13489</v>
      </c>
      <c r="D49" s="194">
        <v>43581</v>
      </c>
      <c r="E49" s="202" t="s">
        <v>13617</v>
      </c>
      <c r="F49" s="37" t="s">
        <v>14191</v>
      </c>
      <c r="G49" s="34"/>
    </row>
    <row r="50" spans="1:7" ht="78.75">
      <c r="A50" s="348"/>
      <c r="B50" s="243">
        <v>6</v>
      </c>
      <c r="C50" s="181" t="s">
        <v>13489</v>
      </c>
      <c r="D50" s="194">
        <v>43964</v>
      </c>
      <c r="E50" s="202" t="s">
        <v>14433</v>
      </c>
      <c r="F50" s="37" t="s">
        <v>14204</v>
      </c>
      <c r="G50" s="34"/>
    </row>
    <row r="51" spans="1:7" ht="45">
      <c r="A51" s="348"/>
      <c r="B51" s="193">
        <v>6.01</v>
      </c>
      <c r="C51" s="181" t="s">
        <v>13489</v>
      </c>
      <c r="D51" s="194">
        <v>43970</v>
      </c>
      <c r="E51" s="202" t="s">
        <v>15503</v>
      </c>
      <c r="F51" s="202" t="s">
        <v>14204</v>
      </c>
      <c r="G51" s="34"/>
    </row>
    <row r="52" spans="1:7" ht="13.5" thickBot="1">
      <c r="A52" s="349"/>
      <c r="B52" s="350" t="str">
        <f ca="1">OFFSET(L!$C$1,MATCH("General"&amp;"Cpy",L!$A:$A,0)-1,SL,,)</f>
        <v>© 2020 Responsible Minerals Initiative. All rights reserved.</v>
      </c>
      <c r="C52" s="350"/>
      <c r="D52" s="350"/>
      <c r="E52" s="350"/>
      <c r="F52" s="350"/>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s>
  <phoneticPr fontId="97" type="noConversion"/>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customSheetView>
  </customSheetViews>
  <phoneticPr fontId="97" type="noConversion"/>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sortState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customSheetView>
  </customSheetViews>
  <phoneticPr fontId="9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60">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0">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65">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phoneticPr fontId="97" type="noConversion"/>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3.9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20">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30">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35">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3.5" thickBot="1">
      <c r="A33" s="88"/>
      <c r="B33" s="185"/>
      <c r="C33" s="185"/>
      <c r="D33" s="377"/>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honeticPr fontId="97" type="noConversion"/>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11"/>
  <sheetViews>
    <sheetView showGridLines="0" showZeros="0" tabSelected="1" zoomScale="90" zoomScaleNormal="90" zoomScalePageLayoutView="70" workbookViewId="0">
      <selection activeCell="D3" sqref="D3"/>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0"/>
      <c r="B1" s="401"/>
      <c r="C1" s="401"/>
      <c r="D1" s="401"/>
      <c r="E1" s="401"/>
      <c r="F1" s="401"/>
      <c r="G1" s="401"/>
      <c r="H1" s="401"/>
      <c r="I1" s="401"/>
      <c r="J1" s="401"/>
      <c r="K1" s="402"/>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3" t="str">
        <f ca="1">OFFSET(L!$C$1,MATCH("Declaration"&amp;ADDRESS(ROW(),COLUMN(),4),L!$A:$A,0)-1,SL,,)</f>
        <v>Conflict Minerals Reporting Template (CMRT)</v>
      </c>
      <c r="E2" s="404"/>
      <c r="F2" s="404"/>
      <c r="G2" s="404"/>
      <c r="H2" s="404"/>
      <c r="I2" s="404"/>
      <c r="J2" s="405"/>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3"/>
      <c r="G3" s="413"/>
      <c r="H3" s="413"/>
      <c r="I3" s="184"/>
      <c r="J3" s="168" t="s">
        <v>15505</v>
      </c>
      <c r="K3" s="47"/>
      <c r="L3" s="139"/>
      <c r="M3" s="130"/>
      <c r="N3" s="130"/>
      <c r="O3" s="131"/>
      <c r="P3" s="144">
        <f>MATCH($D$3,LN,0)</f>
        <v>1</v>
      </c>
    </row>
    <row r="4" spans="1:34" ht="15.75">
      <c r="A4" s="45"/>
      <c r="B4" s="409" t="str">
        <f ca="1">OFFSET(L!$C$1,MATCH("Declaration"&amp;ADDRESS(ROW(),COLUMN(),4),L!$A:$A,0)-1,SL,,)</f>
        <v>The purpose of this document is to collect sourcing information on tin, tantalum, tungsten and gold used in products</v>
      </c>
      <c r="C4" s="409"/>
      <c r="D4" s="409"/>
      <c r="E4" s="409"/>
      <c r="F4" s="409"/>
      <c r="G4" s="409"/>
      <c r="H4" s="409"/>
      <c r="I4" s="414" t="str">
        <f ca="1">OFFSET(L!$C$1,MATCH("Declaration"&amp;ADDRESS(ROW(),COLUMN(),4),L!$A:$A,0)-1,SL,,)</f>
        <v>Link to Terms &amp; Conditions</v>
      </c>
      <c r="J4" s="414"/>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09" t="str">
        <f ca="1">OFFSET(L!$C$1,MATCH("Declaration"&amp;ADDRESS(ROW(),COLUMN(),4),L!$A:$A,0)-1,SL,,)</f>
        <v>Mandatory fields are noted with an asterisk (*).  Consult the instructions tab for guidance on how to answer each question.</v>
      </c>
      <c r="C6" s="409"/>
      <c r="D6" s="409"/>
      <c r="E6" s="409"/>
      <c r="F6" s="409"/>
      <c r="G6" s="409"/>
      <c r="H6" s="409"/>
      <c r="I6" s="409"/>
      <c r="J6" s="409"/>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18" t="str">
        <f ca="1">OFFSET(L!$C$1,MATCH("Declaration"&amp;ADDRESS(ROW(),COLUMN(),4),L!$A:$A,0)-1,SL,,)</f>
        <v>Company Information</v>
      </c>
      <c r="C7" s="418"/>
      <c r="D7" s="418"/>
      <c r="E7" s="418"/>
      <c r="F7" s="418"/>
      <c r="G7" s="418"/>
      <c r="H7" s="418"/>
      <c r="I7" s="418"/>
      <c r="J7" s="418"/>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06" t="s">
        <v>15506</v>
      </c>
      <c r="E8" s="407"/>
      <c r="F8" s="407"/>
      <c r="G8" s="407"/>
      <c r="H8" s="407"/>
      <c r="I8" s="407"/>
      <c r="J8" s="408"/>
      <c r="K8" s="50"/>
      <c r="L8" s="141"/>
      <c r="M8" s="130"/>
      <c r="N8" s="130"/>
      <c r="O8" s="131"/>
      <c r="P8" s="12"/>
      <c r="Q8" s="12"/>
      <c r="R8" s="12"/>
      <c r="S8" s="12"/>
      <c r="T8" s="12"/>
      <c r="U8" s="12"/>
      <c r="V8" s="12"/>
      <c r="W8" s="12"/>
      <c r="X8" s="12"/>
      <c r="Y8" s="12"/>
      <c r="Z8" s="12"/>
      <c r="AA8" s="12"/>
      <c r="AB8" s="12"/>
      <c r="AC8" s="12"/>
      <c r="AD8" s="12"/>
      <c r="AE8" s="12"/>
      <c r="AF8" s="12"/>
      <c r="AG8" s="12"/>
      <c r="AH8" s="12"/>
    </row>
    <row r="9" spans="1:34" ht="16.5">
      <c r="A9" s="49"/>
      <c r="B9" s="86" t="str">
        <f ca="1">OFFSET(L!$C$1,MATCH("Declaration"&amp;ADDRESS(ROW(),COLUMN(),4),L!$A:$A,0)-1,SL,,)</f>
        <v>Declaration Scope or Class (*):</v>
      </c>
      <c r="C9" s="89"/>
      <c r="D9" s="415" t="s">
        <v>504</v>
      </c>
      <c r="E9" s="416"/>
      <c r="F9" s="416"/>
      <c r="G9" s="417"/>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19" t="str">
        <f ca="1">OFFSET(L!$C$1,MATCH("Declaration"&amp;ADDRESS(ROW(),COLUMN(),4)&amp;LEFT($D$9,1),L!$A:$A,0)-1,SL,,)</f>
        <v>Description of Scope:</v>
      </c>
      <c r="C10" s="151"/>
      <c r="D10" s="410" t="s">
        <v>15507</v>
      </c>
      <c r="E10" s="411"/>
      <c r="F10" s="411"/>
      <c r="G10" s="411"/>
      <c r="H10" s="411"/>
      <c r="I10" s="411"/>
      <c r="J10" s="412"/>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5">
      <c r="A11" s="49"/>
      <c r="B11" s="420"/>
      <c r="C11" s="151"/>
      <c r="D11" s="429" t="str">
        <f ca="1">IF(D9=Q9,OFFSET(L!$C$1,MATCH("Declaration"&amp;ADDRESS(ROW(),COLUMN(),4),L!$A:$A,0)-1,SL,,),"")</f>
        <v/>
      </c>
      <c r="E11" s="430"/>
      <c r="F11" s="430"/>
      <c r="G11" s="430"/>
      <c r="H11" s="430"/>
      <c r="I11" s="430"/>
      <c r="J11" s="431"/>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392"/>
      <c r="E12" s="393"/>
      <c r="F12" s="393"/>
      <c r="G12" s="393"/>
      <c r="H12" s="393"/>
      <c r="I12" s="393"/>
      <c r="J12" s="39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392"/>
      <c r="E13" s="393"/>
      <c r="F13" s="393"/>
      <c r="G13" s="393"/>
      <c r="H13" s="393"/>
      <c r="I13" s="393"/>
      <c r="J13" s="39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392" t="s">
        <v>15508</v>
      </c>
      <c r="E14" s="393"/>
      <c r="F14" s="393"/>
      <c r="G14" s="393"/>
      <c r="H14" s="393"/>
      <c r="I14" s="393"/>
      <c r="J14" s="39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392" t="s">
        <v>15509</v>
      </c>
      <c r="E15" s="393"/>
      <c r="F15" s="393"/>
      <c r="G15" s="393"/>
      <c r="H15" s="393"/>
      <c r="I15" s="393"/>
      <c r="J15" s="39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5">
      <c r="A16" s="49"/>
      <c r="B16" s="51" t="str">
        <f ca="1">OFFSET(L!$C$1,MATCH("Declaration"&amp;ADDRESS(ROW(),COLUMN(),4),L!$A:$A,0)-1,SL,,)</f>
        <v>Email – Contact (*):</v>
      </c>
      <c r="C16" s="90"/>
      <c r="D16" s="421" t="s">
        <v>15510</v>
      </c>
      <c r="E16" s="422"/>
      <c r="F16" s="422"/>
      <c r="G16" s="422"/>
      <c r="H16" s="422"/>
      <c r="I16" s="422"/>
      <c r="J16" s="423"/>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392" t="s">
        <v>15511</v>
      </c>
      <c r="E17" s="393"/>
      <c r="F17" s="393"/>
      <c r="G17" s="393"/>
      <c r="H17" s="393"/>
      <c r="I17" s="393"/>
      <c r="J17" s="39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392" t="s">
        <v>15512</v>
      </c>
      <c r="E18" s="393"/>
      <c r="F18" s="393"/>
      <c r="G18" s="393"/>
      <c r="H18" s="393"/>
      <c r="I18" s="393"/>
      <c r="J18" s="39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392" t="s">
        <v>15513</v>
      </c>
      <c r="E19" s="393"/>
      <c r="F19" s="393"/>
      <c r="G19" s="393"/>
      <c r="H19" s="393"/>
      <c r="I19" s="393"/>
      <c r="J19" s="39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1" t="s">
        <v>15514</v>
      </c>
      <c r="E20" s="422"/>
      <c r="F20" s="422"/>
      <c r="G20" s="422"/>
      <c r="H20" s="422"/>
      <c r="I20" s="422"/>
      <c r="J20" s="423"/>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386" t="s">
        <v>15515</v>
      </c>
      <c r="E21" s="387"/>
      <c r="F21" s="387"/>
      <c r="G21" s="387"/>
      <c r="H21" s="387"/>
      <c r="I21" s="387"/>
      <c r="J21" s="388"/>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389">
        <v>44013</v>
      </c>
      <c r="E22" s="390"/>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26"/>
      <c r="E23" s="426"/>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391" t="str">
        <f ca="1">OFFSET(L!$C$1,MATCH("Declaration"&amp;ADDRESS(ROW(),COLUMN(),4),L!$A:$A,0)-1,SL,,)</f>
        <v>Answer the following questions 1 - 8 based on the declaration scope indicated above</v>
      </c>
      <c r="C24" s="391"/>
      <c r="D24" s="391"/>
      <c r="E24" s="391"/>
      <c r="F24" s="391"/>
      <c r="G24" s="391"/>
      <c r="H24" s="391"/>
      <c r="I24" s="391"/>
      <c r="J24" s="391"/>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27" t="str">
        <f ca="1">OFFSET(L!$C$1,MATCH("Declaration"&amp;ADDRESS(ROW(),COLUMN(),4),L!$A:$A,0)-1,SL,,)</f>
        <v>Answer</v>
      </c>
      <c r="E25" s="427"/>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78" t="s">
        <v>499</v>
      </c>
      <c r="E26" s="379"/>
      <c r="F26" s="15"/>
      <c r="G26" s="380"/>
      <c r="H26" s="381"/>
      <c r="I26" s="381"/>
      <c r="J26" s="382"/>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78" t="s">
        <v>499</v>
      </c>
      <c r="E29" s="379"/>
      <c r="F29" s="15"/>
      <c r="G29" s="380"/>
      <c r="H29" s="381"/>
      <c r="I29" s="381"/>
      <c r="J29" s="382"/>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85" t="str">
        <f ca="1">D25</f>
        <v>Answer</v>
      </c>
      <c r="E31" s="385"/>
      <c r="F31" s="21"/>
      <c r="G31" s="55" t="str">
        <f ca="1">G25</f>
        <v>Comments</v>
      </c>
      <c r="H31" s="55"/>
      <c r="I31" s="55"/>
      <c r="J31" s="96"/>
      <c r="K31" s="47"/>
      <c r="L31" s="136" t="s">
        <v>1266</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395"/>
      <c r="E32" s="396"/>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78"/>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5" t="str">
        <f ca="1">D25</f>
        <v>Answer</v>
      </c>
      <c r="E37" s="385"/>
      <c r="F37" s="21"/>
      <c r="G37" s="55" t="str">
        <f ca="1">G25</f>
        <v>Comments</v>
      </c>
      <c r="H37" s="425"/>
      <c r="I37" s="425"/>
      <c r="J37" s="425"/>
      <c r="K37" s="47"/>
      <c r="L37" s="136" t="s">
        <v>1266</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78"/>
      <c r="E38" s="379"/>
      <c r="F38" s="58"/>
      <c r="G38" s="380"/>
      <c r="H38" s="381"/>
      <c r="I38" s="381"/>
      <c r="J38" s="382"/>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8" t="s">
        <v>499</v>
      </c>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8" t="s">
        <v>499</v>
      </c>
      <c r="E40" s="379"/>
      <c r="F40" s="58"/>
      <c r="G40" s="380"/>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78"/>
      <c r="E41" s="379"/>
      <c r="F41" s="58"/>
      <c r="G41" s="380"/>
      <c r="H41" s="381"/>
      <c r="I41" s="381"/>
      <c r="J41" s="382"/>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85" t="str">
        <f ca="1">D25</f>
        <v>Answer</v>
      </c>
      <c r="E43" s="385"/>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78"/>
      <c r="E44" s="379"/>
      <c r="F44" s="58"/>
      <c r="G44" s="380"/>
      <c r="H44" s="381"/>
      <c r="I44" s="381"/>
      <c r="J44" s="382"/>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8" t="s">
        <v>499</v>
      </c>
      <c r="E45" s="379"/>
      <c r="F45" s="58"/>
      <c r="G45" s="380"/>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8" t="s">
        <v>499</v>
      </c>
      <c r="E46" s="379"/>
      <c r="F46" s="58"/>
      <c r="G46" s="380"/>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78"/>
      <c r="E47" s="379"/>
      <c r="F47" s="58"/>
      <c r="G47" s="380"/>
      <c r="H47" s="381"/>
      <c r="I47" s="381"/>
      <c r="J47" s="382"/>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5" t="str">
        <f ca="1">D25</f>
        <v>Answer</v>
      </c>
      <c r="E49" s="385"/>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78"/>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78"/>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85" t="str">
        <f ca="1">D25</f>
        <v>Answer</v>
      </c>
      <c r="E55" s="385"/>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383"/>
      <c r="E56" s="384"/>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83">
        <v>1</v>
      </c>
      <c r="E57" s="384"/>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83">
        <v>1</v>
      </c>
      <c r="E58" s="384"/>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383"/>
      <c r="E59" s="384"/>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85" t="str">
        <f ca="1">D25</f>
        <v>Answer</v>
      </c>
      <c r="E61" s="385"/>
      <c r="F61" s="21"/>
      <c r="G61" s="55" t="str">
        <f ca="1">G25</f>
        <v>Comments</v>
      </c>
      <c r="H61" s="424"/>
      <c r="I61" s="424"/>
      <c r="J61" s="424"/>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395"/>
      <c r="E62" s="396"/>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8" t="s">
        <v>498</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8" t="s">
        <v>498</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78"/>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85" t="str">
        <f ca="1">D25</f>
        <v>Answer</v>
      </c>
      <c r="E67" s="385"/>
      <c r="F67" s="21"/>
      <c r="G67" s="55" t="str">
        <f ca="1">G25</f>
        <v>Comments</v>
      </c>
      <c r="H67" s="424" t="str">
        <f>IF(Q75="(*)","Click here to enter smelter names","")</f>
        <v/>
      </c>
      <c r="I67" s="424"/>
      <c r="J67" s="424"/>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78"/>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78"/>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38" t="str">
        <f ca="1">OFFSET(L!$C$1,MATCH("Declaration"&amp;ADDRESS(ROW(),COLUMN(),4),L!$A:$A,0)-1,SL,,)</f>
        <v>Answer the Following Questions at a Company Level</v>
      </c>
      <c r="C73" s="438"/>
      <c r="D73" s="438"/>
      <c r="E73" s="438"/>
      <c r="F73" s="438"/>
      <c r="G73" s="438"/>
      <c r="H73" s="438"/>
      <c r="I73" s="438"/>
      <c r="J73" s="43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27" t="str">
        <f ca="1">D25</f>
        <v>Answer</v>
      </c>
      <c r="E74" s="427"/>
      <c r="F74" s="64"/>
      <c r="G74" s="427" t="str">
        <f ca="1">G25</f>
        <v>Comments</v>
      </c>
      <c r="H74" s="427" t="e">
        <f>HLOOKUP(SL,LT,$O74,0)</f>
        <v>#NAME?</v>
      </c>
      <c r="I74" s="42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28"/>
      <c r="H76" s="428"/>
      <c r="I76" s="428"/>
      <c r="J76" s="42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499</v>
      </c>
      <c r="E77" s="379"/>
      <c r="F77" s="68"/>
      <c r="G77" s="397"/>
      <c r="H77" s="398"/>
      <c r="I77" s="398"/>
      <c r="J77" s="399"/>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498</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15442</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35" t="s">
        <v>498</v>
      </c>
      <c r="E85" s="436"/>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28"/>
      <c r="H86" s="428"/>
      <c r="I86" s="428"/>
      <c r="J86" s="42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8" t="s">
        <v>499</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37"/>
      <c r="H88" s="437"/>
      <c r="I88" s="437"/>
      <c r="J88" s="437"/>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4" t="str">
        <f>IF(OR($D$8="",$I$3=""),"","Click here to check required fields completion")</f>
        <v/>
      </c>
      <c r="C90" s="434"/>
      <c r="D90" s="434"/>
      <c r="E90" s="434"/>
      <c r="F90" s="434"/>
      <c r="G90" s="434"/>
      <c r="H90" s="434"/>
      <c r="I90" s="434"/>
      <c r="J90" s="434"/>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32" t="str">
        <f ca="1">OFFSET(L!$C$1,MATCH("General"&amp;"Cpy",L!$A:$A,0)-1,SL,,)</f>
        <v>© 2020 Responsible Minerals Initiative. All rights reserved.</v>
      </c>
      <c r="B91" s="433"/>
      <c r="C91" s="433"/>
      <c r="D91" s="433"/>
      <c r="E91" s="433"/>
      <c r="F91" s="433"/>
      <c r="G91" s="433"/>
      <c r="H91" s="433"/>
      <c r="I91" s="433"/>
      <c r="J91" s="433"/>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phoneticPr fontId="97" type="noConversion"/>
  <conditionalFormatting sqref="D75:E75 D77:E77 D79:E79 D81:E81 D85:E85 D87:E87 D89:E89 D83">
    <cfRule type="expression" dxfId="111" priority="63" stopIfTrue="1">
      <formula>AND(OR($D$26="No",AND($D$26="Yes",$D$32="No")),OR($D$27="No",AND($D$27="Yes",$D$33="No")),OR($D$28="No",AND($D$28="Yes",$D$34="No")),OR($D$29="No",AND($D$29="Yes",$D$35="No")))</formula>
    </cfRule>
    <cfRule type="expression" dxfId="110" priority="64" stopIfTrue="1">
      <formula>IF(D75="",TRUE)</formula>
    </cfRule>
  </conditionalFormatting>
  <conditionalFormatting sqref="G77:J77">
    <cfRule type="expression" dxfId="109" priority="35" stopIfTrue="1">
      <formula>IF(AND($D$77="Yes",$G$77=""),TRUE)</formula>
    </cfRule>
  </conditionalFormatting>
  <conditionalFormatting sqref="D26:E26">
    <cfRule type="expression" dxfId="108" priority="115" stopIfTrue="1">
      <formula>IF($D$26="",TRUE)</formula>
    </cfRule>
  </conditionalFormatting>
  <conditionalFormatting sqref="D27:E27">
    <cfRule type="expression" dxfId="107" priority="122" stopIfTrue="1">
      <formula>IF($D$27="",TRUE)</formula>
    </cfRule>
  </conditionalFormatting>
  <conditionalFormatting sqref="D28:E28">
    <cfRule type="expression" dxfId="106" priority="123" stopIfTrue="1">
      <formula>IF($D$28="",TRUE)</formula>
    </cfRule>
  </conditionalFormatting>
  <conditionalFormatting sqref="D29:E29">
    <cfRule type="expression" dxfId="105" priority="124" stopIfTrue="1">
      <formula>IF($D$29="",TRUE)</formula>
    </cfRule>
  </conditionalFormatting>
  <conditionalFormatting sqref="D8:J8">
    <cfRule type="expression" dxfId="104" priority="129" stopIfTrue="1">
      <formula>IF($D$8="",TRUE)</formula>
    </cfRule>
  </conditionalFormatting>
  <conditionalFormatting sqref="D9:G9">
    <cfRule type="expression" dxfId="103" priority="130" stopIfTrue="1">
      <formula>IF($D$9="",TRUE)</formula>
    </cfRule>
  </conditionalFormatting>
  <conditionalFormatting sqref="D15:J15">
    <cfRule type="expression" dxfId="102" priority="131" stopIfTrue="1">
      <formula>IF($D$15="",TRUE)</formula>
    </cfRule>
  </conditionalFormatting>
  <conditionalFormatting sqref="D16:J16">
    <cfRule type="expression" dxfId="101" priority="132" stopIfTrue="1">
      <formula>IF($D$16="",TRUE)</formula>
    </cfRule>
  </conditionalFormatting>
  <conditionalFormatting sqref="D17:J17">
    <cfRule type="expression" dxfId="100" priority="133" stopIfTrue="1">
      <formula>IF($D$17="",TRUE)</formula>
    </cfRule>
  </conditionalFormatting>
  <conditionalFormatting sqref="D18:J18">
    <cfRule type="expression" dxfId="99" priority="134" stopIfTrue="1">
      <formula>IF($D$18="",TRUE)</formula>
    </cfRule>
  </conditionalFormatting>
  <conditionalFormatting sqref="D22:E22">
    <cfRule type="expression" dxfId="98" priority="137" stopIfTrue="1">
      <formula>IF($D$22="",TRUE)</formula>
    </cfRule>
  </conditionalFormatting>
  <conditionalFormatting sqref="D10:J10">
    <cfRule type="expression" dxfId="97" priority="34" stopIfTrue="1">
      <formula>IF($D$9=$Q$9,TRUE)</formula>
    </cfRule>
    <cfRule type="expression" dxfId="96" priority="144" stopIfTrue="1">
      <formula>IF(AND($D$10="",$D$9=$R$9),TRUE)</formula>
    </cfRule>
  </conditionalFormatting>
  <conditionalFormatting sqref="D34:E34 D40:E40 D52:E52 D58:E58 D64:E64 D70:E70">
    <cfRule type="expression" dxfId="95" priority="27" stopIfTrue="1">
      <formula>$P$28=""</formula>
    </cfRule>
  </conditionalFormatting>
  <conditionalFormatting sqref="D35:E35 D41:E41 D53:E53 D59:E59 D65:E65 D71:E71">
    <cfRule type="expression" dxfId="94" priority="142" stopIfTrue="1">
      <formula>$P$29=""</formula>
    </cfRule>
  </conditionalFormatting>
  <conditionalFormatting sqref="D32:E32">
    <cfRule type="expression" dxfId="93" priority="120" stopIfTrue="1">
      <formula>$P$26=""</formula>
    </cfRule>
  </conditionalFormatting>
  <conditionalFormatting sqref="D32:E32">
    <cfRule type="expression" dxfId="92" priority="33" stopIfTrue="1">
      <formula>IF(AND(OR($D$26="Yes",$D$26=""),$D$32=""),1,0)</formula>
    </cfRule>
  </conditionalFormatting>
  <conditionalFormatting sqref="D38 D50 D56 D62 D68">
    <cfRule type="expression" dxfId="91" priority="29" stopIfTrue="1">
      <formula>$P$32=""</formula>
    </cfRule>
  </conditionalFormatting>
  <conditionalFormatting sqref="D39:E39 D51 D57 D63 D69">
    <cfRule type="expression" dxfId="90" priority="28" stopIfTrue="1">
      <formula>$P$33=""</formula>
    </cfRule>
  </conditionalFormatting>
  <conditionalFormatting sqref="D40 D52 D58 D64 D70">
    <cfRule type="expression" dxfId="89" priority="18" stopIfTrue="1">
      <formula>$P$34=""</formula>
    </cfRule>
    <cfRule type="expression" dxfId="88" priority="140" stopIfTrue="1">
      <formula>IF(AND(OR($D$28="Yes",$D$28=""),D40=""),1,0)</formula>
    </cfRule>
  </conditionalFormatting>
  <conditionalFormatting sqref="D41 D53 D59 D65 D71">
    <cfRule type="expression" dxfId="87" priority="26" stopIfTrue="1">
      <formula>$P$35=""</formula>
    </cfRule>
  </conditionalFormatting>
  <conditionalFormatting sqref="D38:E38 D50:E50 D56:E56 D62:E62 D68:E68">
    <cfRule type="expression" dxfId="86" priority="31" stopIfTrue="1">
      <formula>$P$26=""</formula>
    </cfRule>
    <cfRule type="expression" dxfId="85" priority="32" stopIfTrue="1">
      <formula>IF(AND(OR($D$26="Yes",$D$26=""),D38=""),1,0)</formula>
    </cfRule>
  </conditionalFormatting>
  <conditionalFormatting sqref="G85:J85">
    <cfRule type="expression" dxfId="84" priority="25" stopIfTrue="1">
      <formula>IF(AND($D$85="Yes, using other format (describe)",$G$85=""),TRUE)</formula>
    </cfRule>
  </conditionalFormatting>
  <conditionalFormatting sqref="D39:E39 D51:E51 D57:E57 D63:E63 D69:E69">
    <cfRule type="expression" dxfId="83" priority="138" stopIfTrue="1">
      <formula>$P$39=""</formula>
    </cfRule>
    <cfRule type="expression" dxfId="82" priority="139" stopIfTrue="1">
      <formula>IF(AND(OR($D$27="Yes",$D$27=""),D39=""),1,0)</formula>
    </cfRule>
  </conditionalFormatting>
  <conditionalFormatting sqref="D33:E33">
    <cfRule type="expression" dxfId="81" priority="20" stopIfTrue="1">
      <formula>IF(AND(OR($D$27="Yes",$D$27=""),$D$33=""),1,0)</formula>
    </cfRule>
    <cfRule type="expression" dxfId="80" priority="21" stopIfTrue="1">
      <formula>$P$27=""</formula>
    </cfRule>
  </conditionalFormatting>
  <conditionalFormatting sqref="D34:E34">
    <cfRule type="expression" dxfId="79" priority="141" stopIfTrue="1">
      <formula>IF(AND(OR($D$28="Yes",$D$28=""),$D$34=""),1,0)</formula>
    </cfRule>
  </conditionalFormatting>
  <conditionalFormatting sqref="D41:E41 D53:E53 D59:E59 D65:E65 D71:E71">
    <cfRule type="expression" dxfId="78" priority="143" stopIfTrue="1">
      <formula>IF(AND(OR($D$29="Yes",$D$29=""),D41=""),1,0)</formula>
    </cfRule>
  </conditionalFormatting>
  <conditionalFormatting sqref="D35:E35">
    <cfRule type="expression" dxfId="77" priority="17" stopIfTrue="1">
      <formula>IF(AND(OR($D$29="Yes",$D$29=""),$D$35=""),1,0)</formula>
    </cfRule>
  </conditionalFormatting>
  <conditionalFormatting sqref="D20:J20">
    <cfRule type="expression" dxfId="76" priority="13" stopIfTrue="1">
      <formula>IF($D$20="",TRUE)</formula>
    </cfRule>
  </conditionalFormatting>
  <conditionalFormatting sqref="D46:E46">
    <cfRule type="expression" dxfId="75" priority="3" stopIfTrue="1">
      <formula>$P$28=""</formula>
    </cfRule>
  </conditionalFormatting>
  <conditionalFormatting sqref="D47:E47">
    <cfRule type="expression" dxfId="74" priority="11" stopIfTrue="1">
      <formula>$P$29=""</formula>
    </cfRule>
  </conditionalFormatting>
  <conditionalFormatting sqref="D44">
    <cfRule type="expression" dxfId="73" priority="5" stopIfTrue="1">
      <formula>$P$32=""</formula>
    </cfRule>
  </conditionalFormatting>
  <conditionalFormatting sqref="D45">
    <cfRule type="expression" dxfId="72" priority="4" stopIfTrue="1">
      <formula>$P$33=""</formula>
    </cfRule>
  </conditionalFormatting>
  <conditionalFormatting sqref="D46">
    <cfRule type="expression" dxfId="71" priority="1" stopIfTrue="1">
      <formula>$P$34=""</formula>
    </cfRule>
    <cfRule type="expression" dxfId="70" priority="10" stopIfTrue="1">
      <formula>IF(AND(OR($D$28="Yes",$D$28=""),D46=""),1,0)</formula>
    </cfRule>
  </conditionalFormatting>
  <conditionalFormatting sqref="D47">
    <cfRule type="expression" dxfId="69" priority="2" stopIfTrue="1">
      <formula>$P$35=""</formula>
    </cfRule>
  </conditionalFormatting>
  <conditionalFormatting sqref="D44:E44">
    <cfRule type="expression" dxfId="68" priority="6" stopIfTrue="1">
      <formula>$P$26=""</formula>
    </cfRule>
    <cfRule type="expression" dxfId="67" priority="7" stopIfTrue="1">
      <formula>IF(AND(OR($D$26="Yes",$D$26=""),D44=""),1,0)</formula>
    </cfRule>
  </conditionalFormatting>
  <conditionalFormatting sqref="D45:E45">
    <cfRule type="expression" dxfId="66" priority="8" stopIfTrue="1">
      <formula>$P$39=""</formula>
    </cfRule>
    <cfRule type="expression" dxfId="65" priority="9" stopIfTrue="1">
      <formula>IF(AND(OR($D$27="Yes",$D$27=""),D45=""),1,0)</formula>
    </cfRule>
  </conditionalFormatting>
  <conditionalFormatting sqref="D47:E47">
    <cfRule type="expression" dxfId="64" priority="12" stopIfTrue="1">
      <formula>IF(AND(OR($D$29="Yes",$D$29=""),D47=""),1,0)</formula>
    </cfRule>
  </conditionalFormatting>
  <dataValidations count="8">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32:E35 D87:E87 D68:E71 D62:E65 D81:E81 D79:E79 D77:E77 D75:E75 D85:E85">
      <formula1>$B$96:$B$97</formula1>
    </dataValidation>
    <dataValidation type="list" allowBlank="1" showInputMessage="1" showErrorMessage="1" sqref="D38:E41 D44:E47 D50:E53">
      <formula1>$B$96:$B$98</formula1>
    </dataValidation>
    <dataValidation type="list" allowBlank="1" showInputMessage="1" showErrorMessage="1" sqref="D56:E59">
      <formula1>$B$99:$B$104</formula1>
    </dataValidation>
    <dataValidation type="list" allowBlank="1" showInputMessage="1" showErrorMessage="1" sqref="D83:E83">
      <formula1>$B$105:$B$107</formula1>
    </dataValidation>
    <dataValidation type="list" allowBlank="1" showInputMessage="1" showErrorMessage="1" sqref="D89:E89">
      <formula1>$B$108:$B$111</formula1>
    </dataValidation>
  </dataValidations>
  <hyperlinks>
    <hyperlink ref="I4:J4" location="Instructions!B71" display="Link to Terms &amp; Conditions"/>
    <hyperlink ref="B90:J90" location="Checker!A1" display="Checker!A1"/>
    <hyperlink ref="H67:J67"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H2508"/>
  <sheetViews>
    <sheetView showGridLines="0" showZeros="0" zoomScale="70" zoomScaleNormal="70" zoomScalePageLayoutView="55" workbookViewId="0">
      <pane ySplit="4" topLeftCell="A63" activePane="bottomLeft" state="frozen"/>
      <selection pane="bottomLeft" activeCell="C66" sqref="C66"/>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243.95"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32"/>
      <c r="B5" s="217" t="str">
        <f>IF(LEN(A5)=0,"",INDEX('Smelter Look-up'!$A:$A,MATCH($A5,'Smelter Look-up'!$E:$E,0)))</f>
        <v/>
      </c>
      <c r="C5" s="221" t="str">
        <f>IF(LEN(A5)=0,"",INDEX('Smelter Look-up'!$C:$C,MATCH($A5,'Smelter Look-up'!$E:$E,0)))</f>
        <v/>
      </c>
      <c r="D5" s="283"/>
      <c r="E5" s="217" t="str">
        <f ca="1">IF(ISERROR($V5),"",OFFSET('Smelter Look-up'!$D$4,$V5-4,0)&amp;"")</f>
        <v/>
      </c>
      <c r="F5" s="217" t="str">
        <f ca="1">IF(ISERROR($V5),"",OFFSET('Smelter Look-up'!$E$4,$V5-4,0))</f>
        <v/>
      </c>
      <c r="G5" s="217" t="str">
        <f ca="1">IF(C5=$X$4,"Enter smelter details",IF(ISERROR($V5),"",OFFSET('Smelter Look-up'!$F$4,$V5-4,0)))</f>
        <v/>
      </c>
      <c r="H5" s="218" t="str">
        <f ca="1">IF(ISERROR($V5),"",OFFSET('Smelter Look-up'!$G$4,$V5-4,0))</f>
        <v/>
      </c>
      <c r="I5" s="219" t="str">
        <f ca="1">IF(ISERROR($V5),"",OFFSET('Smelter Look-up'!$H$4,$V5-4,0))</f>
        <v/>
      </c>
      <c r="J5" s="219" t="str">
        <f ca="1">IF(ISERROR($V5),"",OFFSET('Smelter Look-up'!$I$4,$V5-4,0))</f>
        <v/>
      </c>
      <c r="K5" s="273"/>
      <c r="L5" s="273"/>
      <c r="M5" s="273"/>
      <c r="N5" s="273"/>
      <c r="O5" s="273"/>
      <c r="P5" s="220"/>
      <c r="Q5" s="274"/>
      <c r="R5" s="217" t="str">
        <f ca="1">IF(ISERROR($V5),"",OFFSET('Smelter Look-up'!$C$4,$V5-4,0)&amp;"")</f>
        <v/>
      </c>
      <c r="S5" s="225" t="str">
        <f t="shared" ref="S5" ca="1" si="0">IF(B5="","",IF(ISERROR(MATCH($E5,CL,0)),"Unknown",INDIRECT("'C'!$A$"&amp;MATCH($E5,CL,0)+1)))</f>
        <v/>
      </c>
      <c r="T5" s="225" t="str">
        <f ca="1">IF(B5="","",IF(ISERROR(MATCH($J5,SorP!$B$1:$B$6230,0)),"",INDIRECT("'SorP'!$A$"&amp;MATCH($J5,SorP!$B$1:$B$6230,0))))</f>
        <v/>
      </c>
      <c r="U5" s="241"/>
      <c r="V5" s="275" t="e">
        <f>IF(C5="",NA(),MATCH($B5&amp;$C5,'Smelter Look-up'!$J:$J,0))</f>
        <v>#N/A</v>
      </c>
      <c r="W5" s="276"/>
      <c r="X5" s="276">
        <f t="shared" ref="X5" ca="1" si="1">IF(AND(C5="Smelter not listed",OR(LEN(D5)=0,LEN(E5)=0)),1,0)</f>
        <v>0</v>
      </c>
      <c r="Y5" s="276"/>
      <c r="Z5" s="276"/>
      <c r="AB5" s="278" t="str">
        <f t="shared" ref="AB5" si="2">B5&amp;C5</f>
        <v/>
      </c>
    </row>
    <row r="6" spans="1:34" s="277" customFormat="1" ht="20.100000000000001" customHeight="1">
      <c r="A6" s="332"/>
      <c r="B6" s="217" t="str">
        <f>IF(LEN(A6)=0,"",INDEX('Smelter Look-up'!$A:$A,MATCH($A6,'Smelter Look-up'!$E:$E,0)))</f>
        <v/>
      </c>
      <c r="C6" s="221" t="str">
        <f>IF(LEN(A6)=0,"",INDEX('Smelter Look-up'!$C:$C,MATCH($A6,'Smelter Look-up'!$E:$E,0)))</f>
        <v/>
      </c>
      <c r="D6" s="283"/>
      <c r="E6" s="217" t="str">
        <f ca="1">IF(ISERROR($V6),"",OFFSET('Smelter Look-up'!$D$4,$V6-4,0)&amp;"")</f>
        <v/>
      </c>
      <c r="F6" s="217" t="str">
        <f ca="1">IF(ISERROR($V6),"",OFFSET('Smelter Look-up'!$E$4,$V6-4,0))</f>
        <v/>
      </c>
      <c r="G6" s="217" t="str">
        <f ca="1">IF(C6=$X$4,"Enter smelter details",IF(ISERROR($V6),"",OFFSET('Smelter Look-up'!$F$4,$V6-4,0)))</f>
        <v/>
      </c>
      <c r="H6" s="218" t="str">
        <f ca="1">IF(ISERROR($V6),"",OFFSET('Smelter Look-up'!$G$4,$V6-4,0))</f>
        <v/>
      </c>
      <c r="I6" s="219" t="str">
        <f ca="1">IF(ISERROR($V6),"",OFFSET('Smelter Look-up'!$H$4,$V6-4,0))</f>
        <v/>
      </c>
      <c r="J6" s="219" t="str">
        <f ca="1">IF(ISERROR($V6),"",OFFSET('Smelter Look-up'!$I$4,$V6-4,0))</f>
        <v/>
      </c>
      <c r="K6" s="273"/>
      <c r="L6" s="273"/>
      <c r="M6" s="273"/>
      <c r="N6" s="273"/>
      <c r="O6" s="273"/>
      <c r="P6" s="220"/>
      <c r="Q6" s="274"/>
      <c r="R6" s="217" t="str">
        <f ca="1">IF(ISERROR($V6),"",OFFSET('Smelter Look-up'!$C$4,$V6-4,0)&amp;"")</f>
        <v/>
      </c>
      <c r="S6" s="225" t="str">
        <f t="shared" ref="S6:S37" ca="1" si="3">IF(B6="","",IF(ISERROR(MATCH($E6,CL,0)),"Unknown",INDIRECT("'C'!$A$"&amp;MATCH($E6,CL,0)+1)))</f>
        <v/>
      </c>
      <c r="T6" s="225" t="str">
        <f ca="1">IF(B6="","",IF(ISERROR(MATCH($J6,SorP!$B$1:$B$6230,0)),"",INDIRECT("'SorP'!$A$"&amp;MATCH($J6,SorP!$B$1:$B$6230,0))))</f>
        <v/>
      </c>
      <c r="U6" s="241"/>
      <c r="V6" s="275" t="e">
        <f>IF(C6="",NA(),MATCH($B6&amp;$C6,'Smelter Look-up'!$J:$J,0))</f>
        <v>#N/A</v>
      </c>
      <c r="W6" s="276"/>
      <c r="X6" s="276">
        <f t="shared" ref="X6:X37" ca="1" si="4">IF(AND(C6="Smelter not listed",OR(LEN(D6)=0,LEN(E6)=0)),1,0)</f>
        <v>0</v>
      </c>
      <c r="Y6" s="276"/>
      <c r="Z6" s="276"/>
      <c r="AB6" s="278" t="str">
        <f t="shared" ref="AB6:AB37" si="5">B6&amp;C6</f>
        <v/>
      </c>
    </row>
    <row r="7" spans="1:34" s="277" customFormat="1" ht="20.100000000000001" customHeight="1">
      <c r="A7" s="332"/>
      <c r="B7" s="217" t="str">
        <f>IF(LEN(A7)=0,"",INDEX('Smelter Look-up'!$A:$A,MATCH($A7,'Smelter Look-up'!$E:$E,0)))</f>
        <v/>
      </c>
      <c r="C7" s="221" t="str">
        <f>IF(LEN(A7)=0,"",INDEX('Smelter Look-up'!$C:$C,MATCH($A7,'Smelter Look-up'!$E:$E,0)))</f>
        <v/>
      </c>
      <c r="D7" s="283"/>
      <c r="E7" s="217" t="str">
        <f ca="1">IF(ISERROR($V7),"",OFFSET('Smelter Look-up'!$D$4,$V7-4,0)&amp;"")</f>
        <v/>
      </c>
      <c r="F7" s="217" t="str">
        <f ca="1">IF(ISERROR($V7),"",OFFSET('Smelter Look-up'!$E$4,$V7-4,0))</f>
        <v/>
      </c>
      <c r="G7" s="217" t="str">
        <f ca="1">IF(C7=$X$4,"Enter smelter details",IF(ISERROR($V7),"",OFFSET('Smelter Look-up'!$F$4,$V7-4,0)))</f>
        <v/>
      </c>
      <c r="H7" s="218" t="str">
        <f ca="1">IF(ISERROR($V7),"",OFFSET('Smelter Look-up'!$G$4,$V7-4,0))</f>
        <v/>
      </c>
      <c r="I7" s="219" t="str">
        <f ca="1">IF(ISERROR($V7),"",OFFSET('Smelter Look-up'!$H$4,$V7-4,0))</f>
        <v/>
      </c>
      <c r="J7" s="219" t="str">
        <f ca="1">IF(ISERROR($V7),"",OFFSET('Smelter Look-up'!$I$4,$V7-4,0))</f>
        <v/>
      </c>
      <c r="K7" s="273"/>
      <c r="L7" s="273"/>
      <c r="M7" s="273"/>
      <c r="N7" s="273"/>
      <c r="O7" s="273"/>
      <c r="P7" s="220"/>
      <c r="Q7" s="274"/>
      <c r="R7" s="217" t="str">
        <f ca="1">IF(ISERROR($V7),"",OFFSET('Smelter Look-up'!$C$4,$V7-4,0)&amp;"")</f>
        <v/>
      </c>
      <c r="S7" s="225" t="str">
        <f t="shared" ca="1" si="3"/>
        <v/>
      </c>
      <c r="T7" s="225" t="str">
        <f ca="1">IF(B7="","",IF(ISERROR(MATCH($J7,SorP!$B$1:$B$6230,0)),"",INDIRECT("'SorP'!$A$"&amp;MATCH($J7,SorP!$B$1:$B$6230,0))))</f>
        <v/>
      </c>
      <c r="U7" s="241"/>
      <c r="V7" s="275" t="e">
        <f>IF(C7="",NA(),MATCH($B7&amp;$C7,'Smelter Look-up'!$J:$J,0))</f>
        <v>#N/A</v>
      </c>
      <c r="W7" s="276"/>
      <c r="X7" s="276">
        <f t="shared" ca="1" si="4"/>
        <v>0</v>
      </c>
      <c r="Y7" s="276"/>
      <c r="Z7" s="276"/>
      <c r="AB7" s="278" t="str">
        <f t="shared" si="5"/>
        <v/>
      </c>
    </row>
    <row r="8" spans="1:34" s="277" customFormat="1" ht="20.100000000000001" customHeight="1">
      <c r="A8" s="332"/>
      <c r="B8" s="217" t="str">
        <f>IF(LEN(A8)=0,"",INDEX('Smelter Look-up'!$A:$A,MATCH($A8,'Smelter Look-up'!$E:$E,0)))</f>
        <v/>
      </c>
      <c r="C8" s="221" t="str">
        <f>IF(LEN(A8)=0,"",INDEX('Smelter Look-up'!$C:$C,MATCH($A8,'Smelter Look-up'!$E:$E,0)))</f>
        <v/>
      </c>
      <c r="D8" s="283"/>
      <c r="E8" s="217" t="str">
        <f ca="1">IF(ISERROR($V8),"",OFFSET('Smelter Look-up'!$D$4,$V8-4,0)&amp;"")</f>
        <v/>
      </c>
      <c r="F8" s="217" t="str">
        <f ca="1">IF(ISERROR($V8),"",OFFSET('Smelter Look-up'!$E$4,$V8-4,0))</f>
        <v/>
      </c>
      <c r="G8" s="217" t="str">
        <f ca="1">IF(C8=$X$4,"Enter smelter details",IF(ISERROR($V8),"",OFFSET('Smelter Look-up'!$F$4,$V8-4,0)))</f>
        <v/>
      </c>
      <c r="H8" s="218" t="str">
        <f ca="1">IF(ISERROR($V8),"",OFFSET('Smelter Look-up'!$G$4,$V8-4,0))</f>
        <v/>
      </c>
      <c r="I8" s="219" t="str">
        <f ca="1">IF(ISERROR($V8),"",OFFSET('Smelter Look-up'!$H$4,$V8-4,0))</f>
        <v/>
      </c>
      <c r="J8" s="219" t="str">
        <f ca="1">IF(ISERROR($V8),"",OFFSET('Smelter Look-up'!$I$4,$V8-4,0))</f>
        <v/>
      </c>
      <c r="K8" s="273"/>
      <c r="L8" s="273"/>
      <c r="M8" s="273"/>
      <c r="N8" s="273"/>
      <c r="O8" s="273"/>
      <c r="P8" s="220"/>
      <c r="Q8" s="274"/>
      <c r="R8" s="217" t="str">
        <f ca="1">IF(ISERROR($V8),"",OFFSET('Smelter Look-up'!$C$4,$V8-4,0)&amp;"")</f>
        <v/>
      </c>
      <c r="S8" s="225" t="str">
        <f t="shared" ca="1" si="3"/>
        <v/>
      </c>
      <c r="T8" s="225" t="str">
        <f ca="1">IF(B8="","",IF(ISERROR(MATCH($J8,SorP!$B$1:$B$6230,0)),"",INDIRECT("'SorP'!$A$"&amp;MATCH($J8,SorP!$B$1:$B$6230,0))))</f>
        <v/>
      </c>
      <c r="U8" s="241"/>
      <c r="V8" s="275" t="e">
        <f>IF(C8="",NA(),MATCH($B8&amp;$C8,'Smelter Look-up'!$J:$J,0))</f>
        <v>#N/A</v>
      </c>
      <c r="W8" s="276"/>
      <c r="X8" s="276">
        <f t="shared" ca="1" si="4"/>
        <v>0</v>
      </c>
      <c r="Y8" s="276"/>
      <c r="Z8" s="276"/>
      <c r="AB8" s="278" t="str">
        <f t="shared" si="5"/>
        <v/>
      </c>
    </row>
    <row r="9" spans="1:34" s="277" customFormat="1" ht="20.100000000000001" customHeight="1">
      <c r="A9" s="332"/>
      <c r="B9" s="217" t="str">
        <f>IF(LEN(A9)=0,"",INDEX('Smelter Look-up'!$A:$A,MATCH($A9,'Smelter Look-up'!$E:$E,0)))</f>
        <v/>
      </c>
      <c r="C9" s="221" t="str">
        <f>IF(LEN(A9)=0,"",INDEX('Smelter Look-up'!$C:$C,MATCH($A9,'Smelter Look-up'!$E:$E,0)))</f>
        <v/>
      </c>
      <c r="D9" s="283"/>
      <c r="E9" s="217" t="str">
        <f ca="1">IF(ISERROR($V9),"",OFFSET('Smelter Look-up'!$D$4,$V9-4,0)&amp;"")</f>
        <v/>
      </c>
      <c r="F9" s="217" t="str">
        <f ca="1">IF(ISERROR($V9),"",OFFSET('Smelter Look-up'!$E$4,$V9-4,0))</f>
        <v/>
      </c>
      <c r="G9" s="217" t="str">
        <f ca="1">IF(C9=$X$4,"Enter smelter details",IF(ISERROR($V9),"",OFFSET('Smelter Look-up'!$F$4,$V9-4,0)))</f>
        <v/>
      </c>
      <c r="H9" s="218" t="str">
        <f ca="1">IF(ISERROR($V9),"",OFFSET('Smelter Look-up'!$G$4,$V9-4,0))</f>
        <v/>
      </c>
      <c r="I9" s="219" t="str">
        <f ca="1">IF(ISERROR($V9),"",OFFSET('Smelter Look-up'!$H$4,$V9-4,0))</f>
        <v/>
      </c>
      <c r="J9" s="219" t="str">
        <f ca="1">IF(ISERROR($V9),"",OFFSET('Smelter Look-up'!$I$4,$V9-4,0))</f>
        <v/>
      </c>
      <c r="K9" s="273"/>
      <c r="L9" s="273"/>
      <c r="M9" s="273"/>
      <c r="N9" s="273"/>
      <c r="O9" s="273"/>
      <c r="P9" s="220"/>
      <c r="Q9" s="274"/>
      <c r="R9" s="217" t="str">
        <f ca="1">IF(ISERROR($V9),"",OFFSET('Smelter Look-up'!$C$4,$V9-4,0)&amp;"")</f>
        <v/>
      </c>
      <c r="S9" s="225" t="str">
        <f t="shared" ca="1" si="3"/>
        <v/>
      </c>
      <c r="T9" s="225" t="str">
        <f ca="1">IF(B9="","",IF(ISERROR(MATCH($J9,SorP!$B$1:$B$6230,0)),"",INDIRECT("'SorP'!$A$"&amp;MATCH($J9,SorP!$B$1:$B$6230,0))))</f>
        <v/>
      </c>
      <c r="U9" s="241"/>
      <c r="V9" s="275" t="e">
        <f>IF(C9="",NA(),MATCH($B9&amp;$C9,'Smelter Look-up'!$J:$J,0))</f>
        <v>#N/A</v>
      </c>
      <c r="W9" s="276"/>
      <c r="X9" s="276">
        <f t="shared" ca="1" si="4"/>
        <v>0</v>
      </c>
      <c r="Y9" s="276"/>
      <c r="Z9" s="276"/>
      <c r="AB9" s="278" t="str">
        <f t="shared" si="5"/>
        <v/>
      </c>
    </row>
    <row r="10" spans="1:34" s="277" customFormat="1" ht="20.100000000000001" customHeight="1">
      <c r="A10" s="332"/>
      <c r="B10" s="217" t="str">
        <f>IF(LEN(A10)=0,"",INDEX('Smelter Look-up'!$A:$A,MATCH($A10,'Smelter Look-up'!$E:$E,0)))</f>
        <v/>
      </c>
      <c r="C10" s="221" t="str">
        <f>IF(LEN(A10)=0,"",INDEX('Smelter Look-up'!$C:$C,MATCH($A10,'Smelter Look-up'!$E:$E,0)))</f>
        <v/>
      </c>
      <c r="D10" s="283"/>
      <c r="E10" s="217" t="str">
        <f ca="1">IF(ISERROR($V10),"",OFFSET('Smelter Look-up'!$D$4,$V10-4,0)&amp;"")</f>
        <v/>
      </c>
      <c r="F10" s="217" t="str">
        <f ca="1">IF(ISERROR($V10),"",OFFSET('Smelter Look-up'!$E$4,$V10-4,0))</f>
        <v/>
      </c>
      <c r="G10" s="217" t="str">
        <f ca="1">IF(C10=$X$4,"Enter smelter details",IF(ISERROR($V10),"",OFFSET('Smelter Look-up'!$F$4,$V10-4,0)))</f>
        <v/>
      </c>
      <c r="H10" s="218" t="str">
        <f ca="1">IF(ISERROR($V10),"",OFFSET('Smelter Look-up'!$G$4,$V10-4,0))</f>
        <v/>
      </c>
      <c r="I10" s="219" t="str">
        <f ca="1">IF(ISERROR($V10),"",OFFSET('Smelter Look-up'!$H$4,$V10-4,0))</f>
        <v/>
      </c>
      <c r="J10" s="219" t="str">
        <f ca="1">IF(ISERROR($V10),"",OFFSET('Smelter Look-up'!$I$4,$V10-4,0))</f>
        <v/>
      </c>
      <c r="K10" s="273"/>
      <c r="L10" s="273"/>
      <c r="M10" s="273"/>
      <c r="N10" s="273"/>
      <c r="O10" s="273"/>
      <c r="P10" s="220"/>
      <c r="Q10" s="274"/>
      <c r="R10" s="217" t="str">
        <f ca="1">IF(ISERROR($V10),"",OFFSET('Smelter Look-up'!$C$4,$V10-4,0)&amp;"")</f>
        <v/>
      </c>
      <c r="S10" s="225" t="str">
        <f t="shared" ca="1" si="3"/>
        <v/>
      </c>
      <c r="T10" s="225" t="str">
        <f ca="1">IF(B10="","",IF(ISERROR(MATCH($J10,SorP!$B$1:$B$6230,0)),"",INDIRECT("'SorP'!$A$"&amp;MATCH($J10,SorP!$B$1:$B$6230,0))))</f>
        <v/>
      </c>
      <c r="U10" s="241"/>
      <c r="V10" s="275" t="e">
        <f>IF(C10="",NA(),MATCH($B10&amp;$C10,'Smelter Look-up'!$J:$J,0))</f>
        <v>#N/A</v>
      </c>
      <c r="W10" s="276"/>
      <c r="X10" s="276">
        <f t="shared" ca="1" si="4"/>
        <v>0</v>
      </c>
      <c r="Y10" s="276"/>
      <c r="Z10" s="276"/>
      <c r="AB10" s="278" t="str">
        <f t="shared" si="5"/>
        <v/>
      </c>
    </row>
    <row r="11" spans="1:34" s="277" customFormat="1" ht="20.100000000000001" customHeight="1">
      <c r="A11" s="332"/>
      <c r="B11" s="217" t="str">
        <f>IF(LEN(A11)=0,"",INDEX('Smelter Look-up'!$A:$A,MATCH($A11,'Smelter Look-up'!$E:$E,0)))</f>
        <v/>
      </c>
      <c r="C11" s="221" t="str">
        <f>IF(LEN(A11)=0,"",INDEX('Smelter Look-up'!$C:$C,MATCH($A11,'Smelter Look-up'!$E:$E,0)))</f>
        <v/>
      </c>
      <c r="D11" s="283"/>
      <c r="E11" s="217" t="str">
        <f ca="1">IF(ISERROR($V11),"",OFFSET('Smelter Look-up'!$D$4,$V11-4,0)&amp;"")</f>
        <v/>
      </c>
      <c r="F11" s="217" t="str">
        <f ca="1">IF(ISERROR($V11),"",OFFSET('Smelter Look-up'!$E$4,$V11-4,0))</f>
        <v/>
      </c>
      <c r="G11" s="217" t="str">
        <f ca="1">IF(C11=$X$4,"Enter smelter details",IF(ISERROR($V11),"",OFFSET('Smelter Look-up'!$F$4,$V11-4,0)))</f>
        <v/>
      </c>
      <c r="H11" s="218" t="str">
        <f ca="1">IF(ISERROR($V11),"",OFFSET('Smelter Look-up'!$G$4,$V11-4,0))</f>
        <v/>
      </c>
      <c r="I11" s="219" t="str">
        <f ca="1">IF(ISERROR($V11),"",OFFSET('Smelter Look-up'!$H$4,$V11-4,0))</f>
        <v/>
      </c>
      <c r="J11" s="219" t="str">
        <f ca="1">IF(ISERROR($V11),"",OFFSET('Smelter Look-up'!$I$4,$V11-4,0))</f>
        <v/>
      </c>
      <c r="K11" s="273"/>
      <c r="L11" s="273"/>
      <c r="M11" s="273"/>
      <c r="N11" s="273"/>
      <c r="O11" s="273"/>
      <c r="P11" s="220"/>
      <c r="Q11" s="274"/>
      <c r="R11" s="217" t="str">
        <f ca="1">IF(ISERROR($V11),"",OFFSET('Smelter Look-up'!$C$4,$V11-4,0)&amp;"")</f>
        <v/>
      </c>
      <c r="S11" s="225" t="str">
        <f t="shared" ca="1" si="3"/>
        <v/>
      </c>
      <c r="T11" s="225" t="str">
        <f ca="1">IF(B11="","",IF(ISERROR(MATCH($J11,SorP!$B$1:$B$6230,0)),"",INDIRECT("'SorP'!$A$"&amp;MATCH($J11,SorP!$B$1:$B$6230,0))))</f>
        <v/>
      </c>
      <c r="U11" s="241"/>
      <c r="V11" s="275" t="e">
        <f>IF(C11="",NA(),MATCH($B11&amp;$C11,'Smelter Look-up'!$J:$J,0))</f>
        <v>#N/A</v>
      </c>
      <c r="W11" s="276"/>
      <c r="X11" s="276">
        <f t="shared" ca="1" si="4"/>
        <v>0</v>
      </c>
      <c r="Y11" s="276"/>
      <c r="Z11" s="276"/>
      <c r="AB11" s="278" t="str">
        <f t="shared" si="5"/>
        <v/>
      </c>
    </row>
    <row r="12" spans="1:34" s="277" customFormat="1" ht="20.100000000000001" customHeight="1">
      <c r="A12" s="332"/>
      <c r="B12" s="217" t="str">
        <f>IF(LEN(A12)=0,"",INDEX('Smelter Look-up'!$A:$A,MATCH($A12,'Smelter Look-up'!$E:$E,0)))</f>
        <v/>
      </c>
      <c r="C12" s="221" t="str">
        <f>IF(LEN(A12)=0,"",INDEX('Smelter Look-up'!$C:$C,MATCH($A12,'Smelter Look-up'!$E:$E,0)))</f>
        <v/>
      </c>
      <c r="D12" s="283"/>
      <c r="E12" s="217" t="str">
        <f ca="1">IF(ISERROR($V12),"",OFFSET('Smelter Look-up'!$D$4,$V12-4,0)&amp;"")</f>
        <v/>
      </c>
      <c r="F12" s="217" t="str">
        <f ca="1">IF(ISERROR($V12),"",OFFSET('Smelter Look-up'!$E$4,$V12-4,0))</f>
        <v/>
      </c>
      <c r="G12" s="217" t="str">
        <f ca="1">IF(C12=$X$4,"Enter smelter details",IF(ISERROR($V12),"",OFFSET('Smelter Look-up'!$F$4,$V12-4,0)))</f>
        <v/>
      </c>
      <c r="H12" s="218" t="str">
        <f ca="1">IF(ISERROR($V12),"",OFFSET('Smelter Look-up'!$G$4,$V12-4,0))</f>
        <v/>
      </c>
      <c r="I12" s="219" t="str">
        <f ca="1">IF(ISERROR($V12),"",OFFSET('Smelter Look-up'!$H$4,$V12-4,0))</f>
        <v/>
      </c>
      <c r="J12" s="219" t="str">
        <f ca="1">IF(ISERROR($V12),"",OFFSET('Smelter Look-up'!$I$4,$V12-4,0))</f>
        <v/>
      </c>
      <c r="K12" s="273"/>
      <c r="L12" s="273"/>
      <c r="M12" s="273"/>
      <c r="N12" s="273"/>
      <c r="O12" s="273"/>
      <c r="P12" s="220"/>
      <c r="Q12" s="274"/>
      <c r="R12" s="217" t="str">
        <f ca="1">IF(ISERROR($V12),"",OFFSET('Smelter Look-up'!$C$4,$V12-4,0)&amp;"")</f>
        <v/>
      </c>
      <c r="S12" s="225" t="str">
        <f t="shared" ca="1" si="3"/>
        <v/>
      </c>
      <c r="T12" s="225" t="str">
        <f ca="1">IF(B12="","",IF(ISERROR(MATCH($J12,SorP!$B$1:$B$6230,0)),"",INDIRECT("'SorP'!$A$"&amp;MATCH($J12,SorP!$B$1:$B$6230,0))))</f>
        <v/>
      </c>
      <c r="U12" s="241"/>
      <c r="V12" s="275" t="e">
        <f>IF(C12="",NA(),MATCH($B12&amp;$C12,'Smelter Look-up'!$J:$J,0))</f>
        <v>#N/A</v>
      </c>
      <c r="W12" s="276"/>
      <c r="X12" s="276">
        <f t="shared" ca="1" si="4"/>
        <v>0</v>
      </c>
      <c r="Y12" s="276"/>
      <c r="Z12" s="276"/>
      <c r="AB12" s="278" t="str">
        <f t="shared" si="5"/>
        <v/>
      </c>
    </row>
    <row r="13" spans="1:34" s="277" customFormat="1" ht="20.100000000000001" customHeight="1">
      <c r="A13" s="332"/>
      <c r="B13" s="217" t="str">
        <f>IF(LEN(A13)=0,"",INDEX('Smelter Look-up'!$A:$A,MATCH($A13,'Smelter Look-up'!$E:$E,0)))</f>
        <v/>
      </c>
      <c r="C13" s="221" t="str">
        <f>IF(LEN(A13)=0,"",INDEX('Smelter Look-up'!$C:$C,MATCH($A13,'Smelter Look-up'!$E:$E,0)))</f>
        <v/>
      </c>
      <c r="D13" s="283"/>
      <c r="E13" s="217" t="str">
        <f ca="1">IF(ISERROR($V13),"",OFFSET('Smelter Look-up'!$D$4,$V13-4,0)&amp;"")</f>
        <v/>
      </c>
      <c r="F13" s="217" t="str">
        <f ca="1">IF(ISERROR($V13),"",OFFSET('Smelter Look-up'!$E$4,$V13-4,0))</f>
        <v/>
      </c>
      <c r="G13" s="217" t="str">
        <f ca="1">IF(C13=$X$4,"Enter smelter details",IF(ISERROR($V13),"",OFFSET('Smelter Look-up'!$F$4,$V13-4,0)))</f>
        <v/>
      </c>
      <c r="H13" s="218" t="str">
        <f ca="1">IF(ISERROR($V13),"",OFFSET('Smelter Look-up'!$G$4,$V13-4,0))</f>
        <v/>
      </c>
      <c r="I13" s="219" t="str">
        <f ca="1">IF(ISERROR($V13),"",OFFSET('Smelter Look-up'!$H$4,$V13-4,0))</f>
        <v/>
      </c>
      <c r="J13" s="219" t="str">
        <f ca="1">IF(ISERROR($V13),"",OFFSET('Smelter Look-up'!$I$4,$V13-4,0))</f>
        <v/>
      </c>
      <c r="K13" s="273"/>
      <c r="L13" s="273"/>
      <c r="M13" s="273"/>
      <c r="N13" s="273"/>
      <c r="O13" s="273"/>
      <c r="P13" s="220"/>
      <c r="Q13" s="274"/>
      <c r="R13" s="217" t="str">
        <f ca="1">IF(ISERROR($V13),"",OFFSET('Smelter Look-up'!$C$4,$V13-4,0)&amp;"")</f>
        <v/>
      </c>
      <c r="S13" s="225" t="str">
        <f t="shared" ca="1" si="3"/>
        <v/>
      </c>
      <c r="T13" s="225" t="str">
        <f ca="1">IF(B13="","",IF(ISERROR(MATCH($J13,SorP!$B$1:$B$6230,0)),"",INDIRECT("'SorP'!$A$"&amp;MATCH($J13,SorP!$B$1:$B$6230,0))))</f>
        <v/>
      </c>
      <c r="U13" s="241"/>
      <c r="V13" s="275" t="e">
        <f>IF(C13="",NA(),MATCH($B13&amp;$C13,'Smelter Look-up'!$J:$J,0))</f>
        <v>#N/A</v>
      </c>
      <c r="W13" s="276"/>
      <c r="X13" s="276">
        <f t="shared" ca="1" si="4"/>
        <v>0</v>
      </c>
      <c r="Y13" s="276"/>
      <c r="Z13" s="276"/>
      <c r="AB13" s="278" t="str">
        <f t="shared" si="5"/>
        <v/>
      </c>
    </row>
    <row r="14" spans="1:34" s="277" customFormat="1" ht="20.100000000000001" customHeight="1">
      <c r="A14" s="332"/>
      <c r="B14" s="217" t="str">
        <f>IF(LEN(A14)=0,"",INDEX('Smelter Look-up'!$A:$A,MATCH($A14,'Smelter Look-up'!$E:$E,0)))</f>
        <v/>
      </c>
      <c r="C14" s="221" t="str">
        <f>IF(LEN(A14)=0,"",INDEX('Smelter Look-up'!$C:$C,MATCH($A14,'Smelter Look-up'!$E:$E,0)))</f>
        <v/>
      </c>
      <c r="D14" s="283"/>
      <c r="E14" s="217" t="str">
        <f ca="1">IF(ISERROR($V14),"",OFFSET('Smelter Look-up'!$D$4,$V14-4,0)&amp;"")</f>
        <v/>
      </c>
      <c r="F14" s="217" t="str">
        <f ca="1">IF(ISERROR($V14),"",OFFSET('Smelter Look-up'!$E$4,$V14-4,0))</f>
        <v/>
      </c>
      <c r="G14" s="217" t="str">
        <f ca="1">IF(C14=$X$4,"Enter smelter details",IF(ISERROR($V14),"",OFFSET('Smelter Look-up'!$F$4,$V14-4,0)))</f>
        <v/>
      </c>
      <c r="H14" s="218" t="str">
        <f ca="1">IF(ISERROR($V14),"",OFFSET('Smelter Look-up'!$G$4,$V14-4,0))</f>
        <v/>
      </c>
      <c r="I14" s="219" t="str">
        <f ca="1">IF(ISERROR($V14),"",OFFSET('Smelter Look-up'!$H$4,$V14-4,0))</f>
        <v/>
      </c>
      <c r="J14" s="219" t="str">
        <f ca="1">IF(ISERROR($V14),"",OFFSET('Smelter Look-up'!$I$4,$V14-4,0))</f>
        <v/>
      </c>
      <c r="K14" s="273"/>
      <c r="L14" s="273"/>
      <c r="M14" s="273"/>
      <c r="N14" s="273"/>
      <c r="O14" s="273"/>
      <c r="P14" s="220"/>
      <c r="Q14" s="274"/>
      <c r="R14" s="217" t="str">
        <f ca="1">IF(ISERROR($V14),"",OFFSET('Smelter Look-up'!$C$4,$V14-4,0)&amp;"")</f>
        <v/>
      </c>
      <c r="S14" s="225" t="str">
        <f t="shared" ca="1" si="3"/>
        <v/>
      </c>
      <c r="T14" s="225" t="str">
        <f ca="1">IF(B14="","",IF(ISERROR(MATCH($J14,SorP!$B$1:$B$6230,0)),"",INDIRECT("'SorP'!$A$"&amp;MATCH($J14,SorP!$B$1:$B$6230,0))))</f>
        <v/>
      </c>
      <c r="U14" s="241"/>
      <c r="V14" s="275" t="e">
        <f>IF(C14="",NA(),MATCH($B14&amp;$C14,'Smelter Look-up'!$J:$J,0))</f>
        <v>#N/A</v>
      </c>
      <c r="W14" s="276"/>
      <c r="X14" s="276">
        <f t="shared" ca="1" si="4"/>
        <v>0</v>
      </c>
      <c r="Y14" s="276"/>
      <c r="Z14" s="276"/>
      <c r="AB14" s="278" t="str">
        <f t="shared" si="5"/>
        <v/>
      </c>
    </row>
    <row r="15" spans="1:34" s="277" customFormat="1" ht="20.100000000000001" customHeight="1">
      <c r="A15" s="332"/>
      <c r="B15" s="217" t="str">
        <f>IF(LEN(A15)=0,"",INDEX('Smelter Look-up'!$A:$A,MATCH($A15,'Smelter Look-up'!$E:$E,0)))</f>
        <v/>
      </c>
      <c r="C15" s="221" t="str">
        <f>IF(LEN(A15)=0,"",INDEX('Smelter Look-up'!$C:$C,MATCH($A15,'Smelter Look-up'!$E:$E,0)))</f>
        <v/>
      </c>
      <c r="D15" s="283"/>
      <c r="E15" s="217" t="str">
        <f ca="1">IF(ISERROR($V15),"",OFFSET('Smelter Look-up'!$D$4,$V15-4,0)&amp;"")</f>
        <v/>
      </c>
      <c r="F15" s="217" t="str">
        <f ca="1">IF(ISERROR($V15),"",OFFSET('Smelter Look-up'!$E$4,$V15-4,0))</f>
        <v/>
      </c>
      <c r="G15" s="217" t="str">
        <f ca="1">IF(C15=$X$4,"Enter smelter details",IF(ISERROR($V15),"",OFFSET('Smelter Look-up'!$F$4,$V15-4,0)))</f>
        <v/>
      </c>
      <c r="H15" s="218" t="str">
        <f ca="1">IF(ISERROR($V15),"",OFFSET('Smelter Look-up'!$G$4,$V15-4,0))</f>
        <v/>
      </c>
      <c r="I15" s="219" t="str">
        <f ca="1">IF(ISERROR($V15),"",OFFSET('Smelter Look-up'!$H$4,$V15-4,0))</f>
        <v/>
      </c>
      <c r="J15" s="219" t="str">
        <f ca="1">IF(ISERROR($V15),"",OFFSET('Smelter Look-up'!$I$4,$V15-4,0))</f>
        <v/>
      </c>
      <c r="K15" s="273"/>
      <c r="L15" s="273"/>
      <c r="M15" s="273"/>
      <c r="N15" s="273"/>
      <c r="O15" s="273"/>
      <c r="P15" s="220"/>
      <c r="Q15" s="274"/>
      <c r="R15" s="217" t="str">
        <f ca="1">IF(ISERROR($V15),"",OFFSET('Smelter Look-up'!$C$4,$V15-4,0)&amp;"")</f>
        <v/>
      </c>
      <c r="S15" s="225" t="str">
        <f t="shared" ca="1" si="3"/>
        <v/>
      </c>
      <c r="T15" s="225" t="str">
        <f ca="1">IF(B15="","",IF(ISERROR(MATCH($J15,SorP!$B$1:$B$6230,0)),"",INDIRECT("'SorP'!$A$"&amp;MATCH($J15,SorP!$B$1:$B$6230,0))))</f>
        <v/>
      </c>
      <c r="U15" s="241"/>
      <c r="V15" s="275" t="e">
        <f>IF(C15="",NA(),MATCH($B15&amp;$C15,'Smelter Look-up'!$J:$J,0))</f>
        <v>#N/A</v>
      </c>
      <c r="W15" s="276"/>
      <c r="X15" s="276">
        <f t="shared" ca="1" si="4"/>
        <v>0</v>
      </c>
      <c r="Y15" s="276"/>
      <c r="Z15" s="276"/>
      <c r="AB15" s="278" t="str">
        <f t="shared" si="5"/>
        <v/>
      </c>
    </row>
    <row r="16" spans="1:34" s="277" customFormat="1" ht="20.100000000000001" customHeight="1">
      <c r="A16" s="332"/>
      <c r="B16" s="217" t="str">
        <f>IF(LEN(A16)=0,"",INDEX('Smelter Look-up'!$A:$A,MATCH($A16,'Smelter Look-up'!$E:$E,0)))</f>
        <v/>
      </c>
      <c r="C16" s="221" t="str">
        <f>IF(LEN(A16)=0,"",INDEX('Smelter Look-up'!$C:$C,MATCH($A16,'Smelter Look-up'!$E:$E,0)))</f>
        <v/>
      </c>
      <c r="D16" s="283"/>
      <c r="E16" s="217" t="str">
        <f ca="1">IF(ISERROR($V16),"",OFFSET('Smelter Look-up'!$D$4,$V16-4,0)&amp;"")</f>
        <v/>
      </c>
      <c r="F16" s="217" t="str">
        <f ca="1">IF(ISERROR($V16),"",OFFSET('Smelter Look-up'!$E$4,$V16-4,0))</f>
        <v/>
      </c>
      <c r="G16" s="217" t="str">
        <f ca="1">IF(C16=$X$4,"Enter smelter details",IF(ISERROR($V16),"",OFFSET('Smelter Look-up'!$F$4,$V16-4,0)))</f>
        <v/>
      </c>
      <c r="H16" s="218" t="str">
        <f ca="1">IF(ISERROR($V16),"",OFFSET('Smelter Look-up'!$G$4,$V16-4,0))</f>
        <v/>
      </c>
      <c r="I16" s="219" t="str">
        <f ca="1">IF(ISERROR($V16),"",OFFSET('Smelter Look-up'!$H$4,$V16-4,0))</f>
        <v/>
      </c>
      <c r="J16" s="219" t="str">
        <f ca="1">IF(ISERROR($V16),"",OFFSET('Smelter Look-up'!$I$4,$V16-4,0))</f>
        <v/>
      </c>
      <c r="K16" s="273"/>
      <c r="L16" s="273"/>
      <c r="M16" s="273"/>
      <c r="N16" s="273"/>
      <c r="O16" s="273"/>
      <c r="P16" s="220"/>
      <c r="Q16" s="274"/>
      <c r="R16" s="217" t="str">
        <f ca="1">IF(ISERROR($V16),"",OFFSET('Smelter Look-up'!$C$4,$V16-4,0)&amp;"")</f>
        <v/>
      </c>
      <c r="S16" s="225" t="str">
        <f t="shared" ca="1" si="3"/>
        <v/>
      </c>
      <c r="T16" s="225" t="str">
        <f ca="1">IF(B16="","",IF(ISERROR(MATCH($J16,SorP!$B$1:$B$6230,0)),"",INDIRECT("'SorP'!$A$"&amp;MATCH($J16,SorP!$B$1:$B$6230,0))))</f>
        <v/>
      </c>
      <c r="U16" s="241"/>
      <c r="V16" s="275" t="e">
        <f>IF(C16="",NA(),MATCH($B16&amp;$C16,'Smelter Look-up'!$J:$J,0))</f>
        <v>#N/A</v>
      </c>
      <c r="W16" s="276"/>
      <c r="X16" s="276">
        <f t="shared" ca="1" si="4"/>
        <v>0</v>
      </c>
      <c r="Y16" s="276"/>
      <c r="Z16" s="276"/>
      <c r="AB16" s="278" t="str">
        <f t="shared" si="5"/>
        <v/>
      </c>
    </row>
    <row r="17" spans="1:28" s="277" customFormat="1" ht="20.100000000000001" customHeight="1">
      <c r="A17" s="332"/>
      <c r="B17" s="217" t="str">
        <f>IF(LEN(A17)=0,"",INDEX('Smelter Look-up'!$A:$A,MATCH($A17,'Smelter Look-up'!$E:$E,0)))</f>
        <v/>
      </c>
      <c r="C17" s="221" t="str">
        <f>IF(LEN(A17)=0,"",INDEX('Smelter Look-up'!$C:$C,MATCH($A17,'Smelter Look-up'!$E:$E,0)))</f>
        <v/>
      </c>
      <c r="D17" s="283"/>
      <c r="E17" s="217" t="str">
        <f ca="1">IF(ISERROR($V17),"",OFFSET('Smelter Look-up'!$D$4,$V17-4,0)&amp;"")</f>
        <v/>
      </c>
      <c r="F17" s="217" t="str">
        <f ca="1">IF(ISERROR($V17),"",OFFSET('Smelter Look-up'!$E$4,$V17-4,0))</f>
        <v/>
      </c>
      <c r="G17" s="217" t="str">
        <f ca="1">IF(C17=$X$4,"Enter smelter details",IF(ISERROR($V17),"",OFFSET('Smelter Look-up'!$F$4,$V17-4,0)))</f>
        <v/>
      </c>
      <c r="H17" s="218" t="str">
        <f ca="1">IF(ISERROR($V17),"",OFFSET('Smelter Look-up'!$G$4,$V17-4,0))</f>
        <v/>
      </c>
      <c r="I17" s="219" t="str">
        <f ca="1">IF(ISERROR($V17),"",OFFSET('Smelter Look-up'!$H$4,$V17-4,0))</f>
        <v/>
      </c>
      <c r="J17" s="219" t="str">
        <f ca="1">IF(ISERROR($V17),"",OFFSET('Smelter Look-up'!$I$4,$V17-4,0))</f>
        <v/>
      </c>
      <c r="K17" s="273"/>
      <c r="L17" s="273"/>
      <c r="M17" s="273"/>
      <c r="N17" s="273"/>
      <c r="O17" s="273"/>
      <c r="P17" s="220"/>
      <c r="Q17" s="274"/>
      <c r="R17" s="217" t="str">
        <f ca="1">IF(ISERROR($V17),"",OFFSET('Smelter Look-up'!$C$4,$V17-4,0)&amp;"")</f>
        <v/>
      </c>
      <c r="S17" s="225" t="str">
        <f t="shared" ca="1" si="3"/>
        <v/>
      </c>
      <c r="T17" s="225" t="str">
        <f ca="1">IF(B17="","",IF(ISERROR(MATCH($J17,SorP!$B$1:$B$6230,0)),"",INDIRECT("'SorP'!$A$"&amp;MATCH($J17,SorP!$B$1:$B$6230,0))))</f>
        <v/>
      </c>
      <c r="U17" s="241"/>
      <c r="V17" s="275" t="e">
        <f>IF(C17="",NA(),MATCH($B17&amp;$C17,'Smelter Look-up'!$J:$J,0))</f>
        <v>#N/A</v>
      </c>
      <c r="W17" s="276"/>
      <c r="X17" s="276">
        <f t="shared" ca="1" si="4"/>
        <v>0</v>
      </c>
      <c r="Y17" s="276"/>
      <c r="Z17" s="276"/>
      <c r="AB17" s="278" t="str">
        <f t="shared" si="5"/>
        <v/>
      </c>
    </row>
    <row r="18" spans="1:28" s="277" customFormat="1" ht="20.100000000000001" customHeight="1">
      <c r="A18" s="216"/>
      <c r="B18" s="217" t="str">
        <f>IF(LEN(A18)=0,"",INDEX('Smelter Look-up'!$A:$A,MATCH($A18,'Smelter Look-up'!$E:$E,0)))</f>
        <v/>
      </c>
      <c r="C18" s="221" t="str">
        <f>IF(LEN(A18)=0,"",INDEX('Smelter Look-up'!$C:$C,MATCH($A18,'Smelter Look-up'!$E:$E,0)))</f>
        <v/>
      </c>
      <c r="D18" s="283"/>
      <c r="E18" s="217" t="str">
        <f ca="1">IF(ISERROR($V18),"",OFFSET('Smelter Look-up'!$D$4,$V18-4,0)&amp;"")</f>
        <v/>
      </c>
      <c r="F18" s="217" t="str">
        <f ca="1">IF(ISERROR($V18),"",OFFSET('Smelter Look-up'!$E$4,$V18-4,0))</f>
        <v/>
      </c>
      <c r="G18" s="217" t="str">
        <f ca="1">IF(C18=$X$4,"Enter smelter details",IF(ISERROR($V18),"",OFFSET('Smelter Look-up'!$F$4,$V18-4,0)))</f>
        <v/>
      </c>
      <c r="H18" s="218" t="str">
        <f ca="1">IF(ISERROR($V18),"",OFFSET('Smelter Look-up'!$G$4,$V18-4,0))</f>
        <v/>
      </c>
      <c r="I18" s="219" t="str">
        <f ca="1">IF(ISERROR($V18),"",OFFSET('Smelter Look-up'!$H$4,$V18-4,0))</f>
        <v/>
      </c>
      <c r="J18" s="219" t="str">
        <f ca="1">IF(ISERROR($V18),"",OFFSET('Smelter Look-up'!$I$4,$V18-4,0))</f>
        <v/>
      </c>
      <c r="K18" s="273"/>
      <c r="L18" s="273"/>
      <c r="M18" s="273"/>
      <c r="N18" s="273"/>
      <c r="O18" s="273"/>
      <c r="P18" s="220"/>
      <c r="Q18" s="274"/>
      <c r="R18" s="217" t="str">
        <f ca="1">IF(ISERROR($V18),"",OFFSET('Smelter Look-up'!$C$4,$V18-4,0)&amp;"")</f>
        <v/>
      </c>
      <c r="S18" s="225" t="str">
        <f t="shared" ca="1" si="3"/>
        <v/>
      </c>
      <c r="T18" s="225" t="str">
        <f ca="1">IF(B18="","",IF(ISERROR(MATCH($J18,SorP!$B$1:$B$6230,0)),"",INDIRECT("'SorP'!$A$"&amp;MATCH($J18,SorP!$B$1:$B$6230,0))))</f>
        <v/>
      </c>
      <c r="U18" s="241"/>
      <c r="V18" s="275" t="e">
        <f>IF(C18="",NA(),MATCH($B18&amp;$C18,'Smelter Look-up'!$J:$J,0))</f>
        <v>#N/A</v>
      </c>
      <c r="W18" s="276"/>
      <c r="X18" s="276">
        <f t="shared" ca="1" si="4"/>
        <v>0</v>
      </c>
      <c r="Y18" s="276"/>
      <c r="Z18" s="276"/>
      <c r="AB18" s="278" t="str">
        <f t="shared" si="5"/>
        <v/>
      </c>
    </row>
    <row r="19" spans="1:28" s="277" customFormat="1" ht="20.25">
      <c r="A19" s="216"/>
      <c r="B19" s="217" t="str">
        <f>IF(LEN(A19)=0,"",INDEX('Smelter Look-up'!$A:$A,MATCH($A19,'Smelter Look-up'!$E:$E,0)))</f>
        <v/>
      </c>
      <c r="C19" s="221" t="str">
        <f>IF(LEN(A19)=0,"",INDEX('Smelter Look-up'!$C:$C,MATCH($A19,'Smelter Look-up'!$E:$E,0)))</f>
        <v/>
      </c>
      <c r="D19" s="283"/>
      <c r="E19" s="217" t="str">
        <f ca="1">IF(ISERROR($V19),"",OFFSET('Smelter Look-up'!$D$4,$V19-4,0)&amp;"")</f>
        <v/>
      </c>
      <c r="F19" s="217" t="str">
        <f ca="1">IF(ISERROR($V19),"",OFFSET('Smelter Look-up'!$E$4,$V19-4,0))</f>
        <v/>
      </c>
      <c r="G19" s="217" t="str">
        <f ca="1">IF(C19=$X$4,"Enter smelter details",IF(ISERROR($V19),"",OFFSET('Smelter Look-up'!$F$4,$V19-4,0)))</f>
        <v/>
      </c>
      <c r="H19" s="218" t="str">
        <f ca="1">IF(ISERROR($V19),"",OFFSET('Smelter Look-up'!$G$4,$V19-4,0))</f>
        <v/>
      </c>
      <c r="I19" s="219" t="str">
        <f ca="1">IF(ISERROR($V19),"",OFFSET('Smelter Look-up'!$H$4,$V19-4,0))</f>
        <v/>
      </c>
      <c r="J19" s="219" t="str">
        <f ca="1">IF(ISERROR($V19),"",OFFSET('Smelter Look-up'!$I$4,$V19-4,0))</f>
        <v/>
      </c>
      <c r="K19" s="273"/>
      <c r="L19" s="273"/>
      <c r="M19" s="273"/>
      <c r="N19" s="273"/>
      <c r="O19" s="273"/>
      <c r="P19" s="220"/>
      <c r="Q19" s="274"/>
      <c r="R19" s="217" t="str">
        <f ca="1">IF(ISERROR($V19),"",OFFSET('Smelter Look-up'!$C$4,$V19-4,0)&amp;"")</f>
        <v/>
      </c>
      <c r="S19" s="225" t="str">
        <f t="shared" ca="1" si="3"/>
        <v/>
      </c>
      <c r="T19" s="225" t="str">
        <f ca="1">IF(B19="","",IF(ISERROR(MATCH($J19,SorP!$B$1:$B$6230,0)),"",INDIRECT("'SorP'!$A$"&amp;MATCH($J19,SorP!$B$1:$B$6230,0))))</f>
        <v/>
      </c>
      <c r="U19" s="241"/>
      <c r="V19" s="275" t="e">
        <f>IF(C19="",NA(),MATCH($B19&amp;$C19,'Smelter Look-up'!$J:$J,0))</f>
        <v>#N/A</v>
      </c>
      <c r="W19" s="276"/>
      <c r="X19" s="276">
        <f t="shared" ca="1" si="4"/>
        <v>0</v>
      </c>
      <c r="Y19" s="276"/>
      <c r="Z19" s="276"/>
      <c r="AB19" s="278" t="str">
        <f t="shared" si="5"/>
        <v/>
      </c>
    </row>
    <row r="20" spans="1:28" s="277" customFormat="1" ht="20.25">
      <c r="A20" s="216"/>
      <c r="B20" s="217" t="str">
        <f>IF(LEN(A20)=0,"",INDEX('Smelter Look-up'!$A:$A,MATCH($A20,'Smelter Look-up'!$E:$E,0)))</f>
        <v/>
      </c>
      <c r="C20" s="221" t="str">
        <f>IF(LEN(A20)=0,"",INDEX('Smelter Look-up'!$C:$C,MATCH($A20,'Smelter Look-up'!$E:$E,0)))</f>
        <v/>
      </c>
      <c r="D20" s="283"/>
      <c r="E20" s="217" t="str">
        <f ca="1">IF(ISERROR($V20),"",OFFSET('Smelter Look-up'!$D$4,$V20-4,0)&amp;"")</f>
        <v/>
      </c>
      <c r="F20" s="217" t="str">
        <f ca="1">IF(ISERROR($V20),"",OFFSET('Smelter Look-up'!$E$4,$V20-4,0))</f>
        <v/>
      </c>
      <c r="G20" s="217" t="str">
        <f ca="1">IF(C20=$X$4,"Enter smelter details",IF(ISERROR($V20),"",OFFSET('Smelter Look-up'!$F$4,$V20-4,0)))</f>
        <v/>
      </c>
      <c r="H20" s="218" t="str">
        <f ca="1">IF(ISERROR($V20),"",OFFSET('Smelter Look-up'!$G$4,$V20-4,0))</f>
        <v/>
      </c>
      <c r="I20" s="219" t="str">
        <f ca="1">IF(ISERROR($V20),"",OFFSET('Smelter Look-up'!$H$4,$V20-4,0))</f>
        <v/>
      </c>
      <c r="J20" s="219" t="str">
        <f ca="1">IF(ISERROR($V20),"",OFFSET('Smelter Look-up'!$I$4,$V20-4,0))</f>
        <v/>
      </c>
      <c r="K20" s="273"/>
      <c r="L20" s="273"/>
      <c r="M20" s="273"/>
      <c r="N20" s="273"/>
      <c r="O20" s="273"/>
      <c r="P20" s="220"/>
      <c r="Q20" s="274"/>
      <c r="R20" s="217" t="str">
        <f ca="1">IF(ISERROR($V20),"",OFFSET('Smelter Look-up'!$C$4,$V20-4,0)&amp;"")</f>
        <v/>
      </c>
      <c r="S20" s="225" t="str">
        <f t="shared" ca="1" si="3"/>
        <v/>
      </c>
      <c r="T20" s="225" t="str">
        <f ca="1">IF(B20="","",IF(ISERROR(MATCH($J20,SorP!$B$1:$B$6230,0)),"",INDIRECT("'SorP'!$A$"&amp;MATCH($J20,SorP!$B$1:$B$6230,0))))</f>
        <v/>
      </c>
      <c r="U20" s="241"/>
      <c r="V20" s="275" t="e">
        <f>IF(C20="",NA(),MATCH($B20&amp;$C20,'Smelter Look-up'!$J:$J,0))</f>
        <v>#N/A</v>
      </c>
      <c r="W20" s="276"/>
      <c r="X20" s="276">
        <f t="shared" ca="1" si="4"/>
        <v>0</v>
      </c>
      <c r="Y20" s="276"/>
      <c r="Z20" s="276"/>
      <c r="AB20" s="278" t="str">
        <f t="shared" si="5"/>
        <v/>
      </c>
    </row>
    <row r="21" spans="1:28" s="277" customFormat="1" ht="20.25">
      <c r="A21" s="216"/>
      <c r="B21" s="217" t="str">
        <f>IF(LEN(A21)=0,"",INDEX('Smelter Look-up'!$A:$A,MATCH($A21,'Smelter Look-up'!$E:$E,0)))</f>
        <v/>
      </c>
      <c r="C21" s="221" t="str">
        <f>IF(LEN(A21)=0,"",INDEX('Smelter Look-up'!$C:$C,MATCH($A21,'Smelter Look-up'!$E:$E,0)))</f>
        <v/>
      </c>
      <c r="D21" s="283"/>
      <c r="E21" s="217" t="str">
        <f ca="1">IF(ISERROR($V21),"",OFFSET('Smelter Look-up'!$D$4,$V21-4,0)&amp;"")</f>
        <v/>
      </c>
      <c r="F21" s="217" t="str">
        <f ca="1">IF(ISERROR($V21),"",OFFSET('Smelter Look-up'!$E$4,$V21-4,0))</f>
        <v/>
      </c>
      <c r="G21" s="217" t="str">
        <f ca="1">IF(C21=$X$4,"Enter smelter details",IF(ISERROR($V21),"",OFFSET('Smelter Look-up'!$F$4,$V21-4,0)))</f>
        <v/>
      </c>
      <c r="H21" s="218" t="str">
        <f ca="1">IF(ISERROR($V21),"",OFFSET('Smelter Look-up'!$G$4,$V21-4,0))</f>
        <v/>
      </c>
      <c r="I21" s="219" t="str">
        <f ca="1">IF(ISERROR($V21),"",OFFSET('Smelter Look-up'!$H$4,$V21-4,0))</f>
        <v/>
      </c>
      <c r="J21" s="219" t="str">
        <f ca="1">IF(ISERROR($V21),"",OFFSET('Smelter Look-up'!$I$4,$V21-4,0))</f>
        <v/>
      </c>
      <c r="K21" s="273"/>
      <c r="L21" s="273"/>
      <c r="M21" s="273"/>
      <c r="N21" s="273"/>
      <c r="O21" s="273"/>
      <c r="P21" s="220"/>
      <c r="Q21" s="274"/>
      <c r="R21" s="217" t="str">
        <f ca="1">IF(ISERROR($V21),"",OFFSET('Smelter Look-up'!$C$4,$V21-4,0)&amp;"")</f>
        <v/>
      </c>
      <c r="S21" s="225" t="str">
        <f t="shared" ca="1" si="3"/>
        <v/>
      </c>
      <c r="T21" s="225" t="str">
        <f ca="1">IF(B21="","",IF(ISERROR(MATCH($J21,SorP!$B$1:$B$6230,0)),"",INDIRECT("'SorP'!$A$"&amp;MATCH($J21,SorP!$B$1:$B$6230,0))))</f>
        <v/>
      </c>
      <c r="U21" s="241"/>
      <c r="V21" s="275" t="e">
        <f>IF(C21="",NA(),MATCH($B21&amp;$C21,'Smelter Look-up'!$J:$J,0))</f>
        <v>#N/A</v>
      </c>
      <c r="W21" s="276"/>
      <c r="X21" s="276">
        <f t="shared" ca="1" si="4"/>
        <v>0</v>
      </c>
      <c r="Y21" s="276"/>
      <c r="Z21" s="276"/>
      <c r="AB21" s="278" t="str">
        <f t="shared" si="5"/>
        <v/>
      </c>
    </row>
    <row r="22" spans="1:28" s="277" customFormat="1" ht="20.25">
      <c r="A22" s="216"/>
      <c r="B22" s="217" t="str">
        <f>IF(LEN(A22)=0,"",INDEX('Smelter Look-up'!$A:$A,MATCH($A22,'Smelter Look-up'!$E:$E,0)))</f>
        <v/>
      </c>
      <c r="C22" s="221" t="str">
        <f>IF(LEN(A22)=0,"",INDEX('Smelter Look-up'!$C:$C,MATCH($A22,'Smelter Look-up'!$E:$E,0)))</f>
        <v/>
      </c>
      <c r="D22" s="283"/>
      <c r="E22" s="217" t="str">
        <f ca="1">IF(ISERROR($V22),"",OFFSET('Smelter Look-up'!$D$4,$V22-4,0)&amp;"")</f>
        <v/>
      </c>
      <c r="F22" s="217" t="str">
        <f ca="1">IF(ISERROR($V22),"",OFFSET('Smelter Look-up'!$E$4,$V22-4,0))</f>
        <v/>
      </c>
      <c r="G22" s="217" t="str">
        <f ca="1">IF(C22=$X$4,"Enter smelter details",IF(ISERROR($V22),"",OFFSET('Smelter Look-up'!$F$4,$V22-4,0)))</f>
        <v/>
      </c>
      <c r="H22" s="218" t="str">
        <f ca="1">IF(ISERROR($V22),"",OFFSET('Smelter Look-up'!$G$4,$V22-4,0))</f>
        <v/>
      </c>
      <c r="I22" s="219" t="str">
        <f ca="1">IF(ISERROR($V22),"",OFFSET('Smelter Look-up'!$H$4,$V22-4,0))</f>
        <v/>
      </c>
      <c r="J22" s="219" t="str">
        <f ca="1">IF(ISERROR($V22),"",OFFSET('Smelter Look-up'!$I$4,$V22-4,0))</f>
        <v/>
      </c>
      <c r="K22" s="273"/>
      <c r="L22" s="273"/>
      <c r="M22" s="273"/>
      <c r="N22" s="273"/>
      <c r="O22" s="273"/>
      <c r="P22" s="220"/>
      <c r="Q22" s="274"/>
      <c r="R22" s="217" t="str">
        <f ca="1">IF(ISERROR($V22),"",OFFSET('Smelter Look-up'!$C$4,$V22-4,0)&amp;"")</f>
        <v/>
      </c>
      <c r="S22" s="225" t="str">
        <f t="shared" ca="1" si="3"/>
        <v/>
      </c>
      <c r="T22" s="225" t="str">
        <f ca="1">IF(B22="","",IF(ISERROR(MATCH($J22,SorP!$B$1:$B$6230,0)),"",INDIRECT("'SorP'!$A$"&amp;MATCH($J22,SorP!$B$1:$B$6230,0))))</f>
        <v/>
      </c>
      <c r="U22" s="241"/>
      <c r="V22" s="275" t="e">
        <f>IF(C22="",NA(),MATCH($B22&amp;$C22,'Smelter Look-up'!$J:$J,0))</f>
        <v>#N/A</v>
      </c>
      <c r="W22" s="276"/>
      <c r="X22" s="276">
        <f t="shared" ca="1" si="4"/>
        <v>0</v>
      </c>
      <c r="Y22" s="276"/>
      <c r="Z22" s="276"/>
      <c r="AB22" s="278" t="str">
        <f t="shared" si="5"/>
        <v/>
      </c>
    </row>
    <row r="23" spans="1:28" s="277" customFormat="1" ht="20.25">
      <c r="A23" s="216"/>
      <c r="B23" s="217" t="str">
        <f>IF(LEN(A23)=0,"",INDEX('Smelter Look-up'!$A:$A,MATCH($A23,'Smelter Look-up'!$E:$E,0)))</f>
        <v/>
      </c>
      <c r="C23" s="221" t="str">
        <f>IF(LEN(A23)=0,"",INDEX('Smelter Look-up'!$C:$C,MATCH($A23,'Smelter Look-up'!$E:$E,0)))</f>
        <v/>
      </c>
      <c r="D23" s="283"/>
      <c r="E23" s="217" t="str">
        <f ca="1">IF(ISERROR($V23),"",OFFSET('Smelter Look-up'!$D$4,$V23-4,0)&amp;"")</f>
        <v/>
      </c>
      <c r="F23" s="217" t="str">
        <f ca="1">IF(ISERROR($V23),"",OFFSET('Smelter Look-up'!$E$4,$V23-4,0))</f>
        <v/>
      </c>
      <c r="G23" s="217" t="str">
        <f ca="1">IF(C23=$X$4,"Enter smelter details",IF(ISERROR($V23),"",OFFSET('Smelter Look-up'!$F$4,$V23-4,0)))</f>
        <v/>
      </c>
      <c r="H23" s="218" t="str">
        <f ca="1">IF(ISERROR($V23),"",OFFSET('Smelter Look-up'!$G$4,$V23-4,0))</f>
        <v/>
      </c>
      <c r="I23" s="219" t="str">
        <f ca="1">IF(ISERROR($V23),"",OFFSET('Smelter Look-up'!$H$4,$V23-4,0))</f>
        <v/>
      </c>
      <c r="J23" s="219" t="str">
        <f ca="1">IF(ISERROR($V23),"",OFFSET('Smelter Look-up'!$I$4,$V23-4,0))</f>
        <v/>
      </c>
      <c r="K23" s="273"/>
      <c r="L23" s="273"/>
      <c r="M23" s="273"/>
      <c r="N23" s="273"/>
      <c r="O23" s="273"/>
      <c r="P23" s="220"/>
      <c r="Q23" s="274"/>
      <c r="R23" s="217" t="str">
        <f ca="1">IF(ISERROR($V23),"",OFFSET('Smelter Look-up'!$C$4,$V23-4,0)&amp;"")</f>
        <v/>
      </c>
      <c r="S23" s="225" t="str">
        <f t="shared" ca="1" si="3"/>
        <v/>
      </c>
      <c r="T23" s="225" t="str">
        <f ca="1">IF(B23="","",IF(ISERROR(MATCH($J23,SorP!$B$1:$B$6230,0)),"",INDIRECT("'SorP'!$A$"&amp;MATCH($J23,SorP!$B$1:$B$6230,0))))</f>
        <v/>
      </c>
      <c r="U23" s="241"/>
      <c r="V23" s="275" t="e">
        <f>IF(C23="",NA(),MATCH($B23&amp;$C23,'Smelter Look-up'!$J:$J,0))</f>
        <v>#N/A</v>
      </c>
      <c r="W23" s="276"/>
      <c r="X23" s="276">
        <f t="shared" ca="1" si="4"/>
        <v>0</v>
      </c>
      <c r="Y23" s="276"/>
      <c r="Z23" s="276"/>
      <c r="AB23" s="278" t="str">
        <f t="shared" si="5"/>
        <v/>
      </c>
    </row>
    <row r="24" spans="1:28" s="277" customFormat="1" ht="20.25">
      <c r="A24" s="216"/>
      <c r="B24" s="217" t="str">
        <f>IF(LEN(A24)=0,"",INDEX('Smelter Look-up'!$A:$A,MATCH($A24,'Smelter Look-up'!$E:$E,0)))</f>
        <v/>
      </c>
      <c r="C24" s="221" t="str">
        <f>IF(LEN(A24)=0,"",INDEX('Smelter Look-up'!$C:$C,MATCH($A24,'Smelter Look-up'!$E:$E,0)))</f>
        <v/>
      </c>
      <c r="D24" s="283"/>
      <c r="E24" s="217" t="str">
        <f ca="1">IF(ISERROR($V24),"",OFFSET('Smelter Look-up'!$D$4,$V24-4,0)&amp;"")</f>
        <v/>
      </c>
      <c r="F24" s="217" t="str">
        <f ca="1">IF(ISERROR($V24),"",OFFSET('Smelter Look-up'!$E$4,$V24-4,0))</f>
        <v/>
      </c>
      <c r="G24" s="217" t="str">
        <f ca="1">IF(C24=$X$4,"Enter smelter details",IF(ISERROR($V24),"",OFFSET('Smelter Look-up'!$F$4,$V24-4,0)))</f>
        <v/>
      </c>
      <c r="H24" s="218" t="str">
        <f ca="1">IF(ISERROR($V24),"",OFFSET('Smelter Look-up'!$G$4,$V24-4,0))</f>
        <v/>
      </c>
      <c r="I24" s="219" t="str">
        <f ca="1">IF(ISERROR($V24),"",OFFSET('Smelter Look-up'!$H$4,$V24-4,0))</f>
        <v/>
      </c>
      <c r="J24" s="219" t="str">
        <f ca="1">IF(ISERROR($V24),"",OFFSET('Smelter Look-up'!$I$4,$V24-4,0))</f>
        <v/>
      </c>
      <c r="K24" s="273"/>
      <c r="L24" s="273"/>
      <c r="M24" s="273"/>
      <c r="N24" s="273"/>
      <c r="O24" s="273"/>
      <c r="P24" s="220"/>
      <c r="Q24" s="274"/>
      <c r="R24" s="217" t="str">
        <f ca="1">IF(ISERROR($V24),"",OFFSET('Smelter Look-up'!$C$4,$V24-4,0)&amp;"")</f>
        <v/>
      </c>
      <c r="S24" s="225" t="str">
        <f t="shared" ca="1" si="3"/>
        <v/>
      </c>
      <c r="T24" s="225" t="str">
        <f ca="1">IF(B24="","",IF(ISERROR(MATCH($J24,SorP!$B$1:$B$6230,0)),"",INDIRECT("'SorP'!$A$"&amp;MATCH($J24,SorP!$B$1:$B$6230,0))))</f>
        <v/>
      </c>
      <c r="U24" s="241"/>
      <c r="V24" s="275" t="e">
        <f>IF(C24="",NA(),MATCH($B24&amp;$C24,'Smelter Look-up'!$J:$J,0))</f>
        <v>#N/A</v>
      </c>
      <c r="W24" s="276"/>
      <c r="X24" s="276">
        <f t="shared" ca="1" si="4"/>
        <v>0</v>
      </c>
      <c r="Y24" s="276"/>
      <c r="Z24" s="276"/>
      <c r="AB24" s="278" t="str">
        <f t="shared" si="5"/>
        <v/>
      </c>
    </row>
    <row r="25" spans="1:28" s="277" customFormat="1" ht="20.25">
      <c r="A25" s="216"/>
      <c r="B25" s="217" t="str">
        <f>IF(LEN(A25)=0,"",INDEX('Smelter Look-up'!$A:$A,MATCH($A25,'Smelter Look-up'!$E:$E,0)))</f>
        <v/>
      </c>
      <c r="C25" s="221" t="str">
        <f>IF(LEN(A25)=0,"",INDEX('Smelter Look-up'!$C:$C,MATCH($A25,'Smelter Look-up'!$E:$E,0)))</f>
        <v/>
      </c>
      <c r="D25" s="283"/>
      <c r="E25" s="217" t="str">
        <f ca="1">IF(ISERROR($V25),"",OFFSET('Smelter Look-up'!$D$4,$V25-4,0)&amp;"")</f>
        <v/>
      </c>
      <c r="F25" s="217" t="str">
        <f ca="1">IF(ISERROR($V25),"",OFFSET('Smelter Look-up'!$E$4,$V25-4,0))</f>
        <v/>
      </c>
      <c r="G25" s="217" t="str">
        <f ca="1">IF(C25=$X$4,"Enter smelter details",IF(ISERROR($V25),"",OFFSET('Smelter Look-up'!$F$4,$V25-4,0)))</f>
        <v/>
      </c>
      <c r="H25" s="218" t="str">
        <f ca="1">IF(ISERROR($V25),"",OFFSET('Smelter Look-up'!$G$4,$V25-4,0))</f>
        <v/>
      </c>
      <c r="I25" s="219" t="str">
        <f ca="1">IF(ISERROR($V25),"",OFFSET('Smelter Look-up'!$H$4,$V25-4,0))</f>
        <v/>
      </c>
      <c r="J25" s="219" t="str">
        <f ca="1">IF(ISERROR($V25),"",OFFSET('Smelter Look-up'!$I$4,$V25-4,0))</f>
        <v/>
      </c>
      <c r="K25" s="273"/>
      <c r="L25" s="273"/>
      <c r="M25" s="273"/>
      <c r="N25" s="273"/>
      <c r="O25" s="273"/>
      <c r="P25" s="220"/>
      <c r="Q25" s="274"/>
      <c r="R25" s="217" t="str">
        <f ca="1">IF(ISERROR($V25),"",OFFSET('Smelter Look-up'!$C$4,$V25-4,0)&amp;"")</f>
        <v/>
      </c>
      <c r="S25" s="225" t="str">
        <f t="shared" ca="1" si="3"/>
        <v/>
      </c>
      <c r="T25" s="225" t="str">
        <f ca="1">IF(B25="","",IF(ISERROR(MATCH($J25,SorP!$B$1:$B$6230,0)),"",INDIRECT("'SorP'!$A$"&amp;MATCH($J25,SorP!$B$1:$B$6230,0))))</f>
        <v/>
      </c>
      <c r="U25" s="241"/>
      <c r="V25" s="275" t="e">
        <f>IF(C25="",NA(),MATCH($B25&amp;$C25,'Smelter Look-up'!$J:$J,0))</f>
        <v>#N/A</v>
      </c>
      <c r="W25" s="276"/>
      <c r="X25" s="276">
        <f t="shared" ca="1" si="4"/>
        <v>0</v>
      </c>
      <c r="Y25" s="276"/>
      <c r="Z25" s="276"/>
      <c r="AB25" s="278" t="str">
        <f t="shared" si="5"/>
        <v/>
      </c>
    </row>
    <row r="26" spans="1:28" s="277" customFormat="1" ht="20.25">
      <c r="A26" s="216"/>
      <c r="B26" s="217" t="str">
        <f>IF(LEN(A26)=0,"",INDEX('Smelter Look-up'!$A:$A,MATCH($A26,'Smelter Look-up'!$E:$E,0)))</f>
        <v/>
      </c>
      <c r="C26" s="221" t="str">
        <f>IF(LEN(A26)=0,"",INDEX('Smelter Look-up'!$C:$C,MATCH($A26,'Smelter Look-up'!$E:$E,0)))</f>
        <v/>
      </c>
      <c r="D26" s="283"/>
      <c r="E26" s="217" t="str">
        <f ca="1">IF(ISERROR($V26),"",OFFSET('Smelter Look-up'!$D$4,$V26-4,0)&amp;"")</f>
        <v/>
      </c>
      <c r="F26" s="217" t="str">
        <f ca="1">IF(ISERROR($V26),"",OFFSET('Smelter Look-up'!$E$4,$V26-4,0))</f>
        <v/>
      </c>
      <c r="G26" s="217" t="str">
        <f ca="1">IF(C26=$X$4,"Enter smelter details",IF(ISERROR($V26),"",OFFSET('Smelter Look-up'!$F$4,$V26-4,0)))</f>
        <v/>
      </c>
      <c r="H26" s="218" t="str">
        <f ca="1">IF(ISERROR($V26),"",OFFSET('Smelter Look-up'!$G$4,$V26-4,0))</f>
        <v/>
      </c>
      <c r="I26" s="219" t="str">
        <f ca="1">IF(ISERROR($V26),"",OFFSET('Smelter Look-up'!$H$4,$V26-4,0))</f>
        <v/>
      </c>
      <c r="J26" s="219" t="str">
        <f ca="1">IF(ISERROR($V26),"",OFFSET('Smelter Look-up'!$I$4,$V26-4,0))</f>
        <v/>
      </c>
      <c r="K26" s="273"/>
      <c r="L26" s="273"/>
      <c r="M26" s="273"/>
      <c r="N26" s="273"/>
      <c r="O26" s="273"/>
      <c r="P26" s="220"/>
      <c r="Q26" s="274"/>
      <c r="R26" s="217" t="str">
        <f ca="1">IF(ISERROR($V26),"",OFFSET('Smelter Look-up'!$C$4,$V26-4,0)&amp;"")</f>
        <v/>
      </c>
      <c r="S26" s="225" t="str">
        <f t="shared" ca="1" si="3"/>
        <v/>
      </c>
      <c r="T26" s="225" t="str">
        <f ca="1">IF(B26="","",IF(ISERROR(MATCH($J26,SorP!$B$1:$B$6230,0)),"",INDIRECT("'SorP'!$A$"&amp;MATCH($J26,SorP!$B$1:$B$6230,0))))</f>
        <v/>
      </c>
      <c r="U26" s="241"/>
      <c r="V26" s="275" t="e">
        <f>IF(C26="",NA(),MATCH($B26&amp;$C26,'Smelter Look-up'!$J:$J,0))</f>
        <v>#N/A</v>
      </c>
      <c r="W26" s="276"/>
      <c r="X26" s="276">
        <f t="shared" ca="1" si="4"/>
        <v>0</v>
      </c>
      <c r="Y26" s="276"/>
      <c r="Z26" s="276"/>
      <c r="AB26" s="278" t="str">
        <f t="shared" si="5"/>
        <v/>
      </c>
    </row>
    <row r="27" spans="1:28" s="277" customFormat="1" ht="20.25">
      <c r="A27" s="216"/>
      <c r="B27" s="217" t="str">
        <f>IF(LEN(A27)=0,"",INDEX('Smelter Look-up'!$A:$A,MATCH($A27,'Smelter Look-up'!$E:$E,0)))</f>
        <v/>
      </c>
      <c r="C27" s="221" t="str">
        <f>IF(LEN(A27)=0,"",INDEX('Smelter Look-up'!$C:$C,MATCH($A27,'Smelter Look-up'!$E:$E,0)))</f>
        <v/>
      </c>
      <c r="D27" s="283"/>
      <c r="E27" s="217" t="str">
        <f ca="1">IF(ISERROR($V27),"",OFFSET('Smelter Look-up'!$D$4,$V27-4,0)&amp;"")</f>
        <v/>
      </c>
      <c r="F27" s="217" t="str">
        <f ca="1">IF(ISERROR($V27),"",OFFSET('Smelter Look-up'!$E$4,$V27-4,0))</f>
        <v/>
      </c>
      <c r="G27" s="217" t="str">
        <f ca="1">IF(C27=$X$4,"Enter smelter details",IF(ISERROR($V27),"",OFFSET('Smelter Look-up'!$F$4,$V27-4,0)))</f>
        <v/>
      </c>
      <c r="H27" s="218" t="str">
        <f ca="1">IF(ISERROR($V27),"",OFFSET('Smelter Look-up'!$G$4,$V27-4,0))</f>
        <v/>
      </c>
      <c r="I27" s="219" t="str">
        <f ca="1">IF(ISERROR($V27),"",OFFSET('Smelter Look-up'!$H$4,$V27-4,0))</f>
        <v/>
      </c>
      <c r="J27" s="219" t="str">
        <f ca="1">IF(ISERROR($V27),"",OFFSET('Smelter Look-up'!$I$4,$V27-4,0))</f>
        <v/>
      </c>
      <c r="K27" s="273"/>
      <c r="L27" s="273"/>
      <c r="M27" s="273"/>
      <c r="N27" s="273"/>
      <c r="O27" s="273"/>
      <c r="P27" s="220"/>
      <c r="Q27" s="274"/>
      <c r="R27" s="217" t="str">
        <f ca="1">IF(ISERROR($V27),"",OFFSET('Smelter Look-up'!$C$4,$V27-4,0)&amp;"")</f>
        <v/>
      </c>
      <c r="S27" s="225" t="str">
        <f t="shared" ca="1" si="3"/>
        <v/>
      </c>
      <c r="T27" s="225" t="str">
        <f ca="1">IF(B27="","",IF(ISERROR(MATCH($J27,SorP!$B$1:$B$6230,0)),"",INDIRECT("'SorP'!$A$"&amp;MATCH($J27,SorP!$B$1:$B$6230,0))))</f>
        <v/>
      </c>
      <c r="U27" s="241"/>
      <c r="V27" s="275" t="e">
        <f>IF(C27="",NA(),MATCH($B27&amp;$C27,'Smelter Look-up'!$J:$J,0))</f>
        <v>#N/A</v>
      </c>
      <c r="W27" s="276"/>
      <c r="X27" s="276">
        <f t="shared" ca="1" si="4"/>
        <v>0</v>
      </c>
      <c r="Y27" s="276"/>
      <c r="Z27" s="276"/>
      <c r="AB27" s="278" t="str">
        <f t="shared" si="5"/>
        <v/>
      </c>
    </row>
    <row r="28" spans="1:28" s="277" customFormat="1" ht="20.25">
      <c r="A28" s="216"/>
      <c r="B28" s="217" t="str">
        <f>IF(LEN(A28)=0,"",INDEX('Smelter Look-up'!$A:$A,MATCH($A28,'Smelter Look-up'!$E:$E,0)))</f>
        <v/>
      </c>
      <c r="C28" s="221" t="str">
        <f>IF(LEN(A28)=0,"",INDEX('Smelter Look-up'!$C:$C,MATCH($A28,'Smelter Look-up'!$E:$E,0)))</f>
        <v/>
      </c>
      <c r="D28" s="283"/>
      <c r="E28" s="217" t="str">
        <f ca="1">IF(ISERROR($V28),"",OFFSET('Smelter Look-up'!$D$4,$V28-4,0)&amp;"")</f>
        <v/>
      </c>
      <c r="F28" s="217" t="str">
        <f ca="1">IF(ISERROR($V28),"",OFFSET('Smelter Look-up'!$E$4,$V28-4,0))</f>
        <v/>
      </c>
      <c r="G28" s="217" t="str">
        <f ca="1">IF(C28=$X$4,"Enter smelter details",IF(ISERROR($V28),"",OFFSET('Smelter Look-up'!$F$4,$V28-4,0)))</f>
        <v/>
      </c>
      <c r="H28" s="218" t="str">
        <f ca="1">IF(ISERROR($V28),"",OFFSET('Smelter Look-up'!$G$4,$V28-4,0))</f>
        <v/>
      </c>
      <c r="I28" s="219" t="str">
        <f ca="1">IF(ISERROR($V28),"",OFFSET('Smelter Look-up'!$H$4,$V28-4,0))</f>
        <v/>
      </c>
      <c r="J28" s="219" t="str">
        <f ca="1">IF(ISERROR($V28),"",OFFSET('Smelter Look-up'!$I$4,$V28-4,0))</f>
        <v/>
      </c>
      <c r="K28" s="273"/>
      <c r="L28" s="273"/>
      <c r="M28" s="273"/>
      <c r="N28" s="273"/>
      <c r="O28" s="273"/>
      <c r="P28" s="220"/>
      <c r="Q28" s="274"/>
      <c r="R28" s="217" t="str">
        <f ca="1">IF(ISERROR($V28),"",OFFSET('Smelter Look-up'!$C$4,$V28-4,0)&amp;"")</f>
        <v/>
      </c>
      <c r="S28" s="225" t="str">
        <f t="shared" ca="1" si="3"/>
        <v/>
      </c>
      <c r="T28" s="225" t="str">
        <f ca="1">IF(B28="","",IF(ISERROR(MATCH($J28,SorP!$B$1:$B$6230,0)),"",INDIRECT("'SorP'!$A$"&amp;MATCH($J28,SorP!$B$1:$B$6230,0))))</f>
        <v/>
      </c>
      <c r="U28" s="241"/>
      <c r="V28" s="275" t="e">
        <f>IF(C28="",NA(),MATCH($B28&amp;$C28,'Smelter Look-up'!$J:$J,0))</f>
        <v>#N/A</v>
      </c>
      <c r="W28" s="276"/>
      <c r="X28" s="276">
        <f t="shared" ca="1" si="4"/>
        <v>0</v>
      </c>
      <c r="Y28" s="276"/>
      <c r="Z28" s="276"/>
      <c r="AB28" s="278" t="str">
        <f t="shared" si="5"/>
        <v/>
      </c>
    </row>
    <row r="29" spans="1:28" s="277" customFormat="1" ht="20.25">
      <c r="A29" s="216"/>
      <c r="B29" s="217" t="str">
        <f>IF(LEN(A29)=0,"",INDEX('Smelter Look-up'!$A:$A,MATCH($A29,'Smelter Look-up'!$E:$E,0)))</f>
        <v/>
      </c>
      <c r="C29" s="221" t="str">
        <f>IF(LEN(A29)=0,"",INDEX('Smelter Look-up'!$C:$C,MATCH($A29,'Smelter Look-up'!$E:$E,0)))</f>
        <v/>
      </c>
      <c r="D29" s="283"/>
      <c r="E29" s="217" t="str">
        <f ca="1">IF(ISERROR($V29),"",OFFSET('Smelter Look-up'!$D$4,$V29-4,0)&amp;"")</f>
        <v/>
      </c>
      <c r="F29" s="217" t="str">
        <f ca="1">IF(ISERROR($V29),"",OFFSET('Smelter Look-up'!$E$4,$V29-4,0))</f>
        <v/>
      </c>
      <c r="G29" s="217" t="str">
        <f ca="1">IF(C29=$X$4,"Enter smelter details",IF(ISERROR($V29),"",OFFSET('Smelter Look-up'!$F$4,$V29-4,0)))</f>
        <v/>
      </c>
      <c r="H29" s="218" t="str">
        <f ca="1">IF(ISERROR($V29),"",OFFSET('Smelter Look-up'!$G$4,$V29-4,0))</f>
        <v/>
      </c>
      <c r="I29" s="219" t="str">
        <f ca="1">IF(ISERROR($V29),"",OFFSET('Smelter Look-up'!$H$4,$V29-4,0))</f>
        <v/>
      </c>
      <c r="J29" s="219" t="str">
        <f ca="1">IF(ISERROR($V29),"",OFFSET('Smelter Look-up'!$I$4,$V29-4,0))</f>
        <v/>
      </c>
      <c r="K29" s="273"/>
      <c r="L29" s="273"/>
      <c r="M29" s="273"/>
      <c r="N29" s="273"/>
      <c r="O29" s="273"/>
      <c r="P29" s="220"/>
      <c r="Q29" s="274"/>
      <c r="R29" s="217" t="str">
        <f ca="1">IF(ISERROR($V29),"",OFFSET('Smelter Look-up'!$C$4,$V29-4,0)&amp;"")</f>
        <v/>
      </c>
      <c r="S29" s="225" t="str">
        <f t="shared" ca="1" si="3"/>
        <v/>
      </c>
      <c r="T29" s="225" t="str">
        <f ca="1">IF(B29="","",IF(ISERROR(MATCH($J29,SorP!$B$1:$B$6230,0)),"",INDIRECT("'SorP'!$A$"&amp;MATCH($J29,SorP!$B$1:$B$6230,0))))</f>
        <v/>
      </c>
      <c r="U29" s="241"/>
      <c r="V29" s="275" t="e">
        <f>IF(C29="",NA(),MATCH($B29&amp;$C29,'Smelter Look-up'!$J:$J,0))</f>
        <v>#N/A</v>
      </c>
      <c r="W29" s="276"/>
      <c r="X29" s="276">
        <f t="shared" ca="1" si="4"/>
        <v>0</v>
      </c>
      <c r="Y29" s="276"/>
      <c r="Z29" s="276"/>
      <c r="AB29" s="278" t="str">
        <f t="shared" si="5"/>
        <v/>
      </c>
    </row>
    <row r="30" spans="1:28" s="277" customFormat="1" ht="20.25">
      <c r="A30" s="216"/>
      <c r="B30" s="217" t="str">
        <f>IF(LEN(A30)=0,"",INDEX('Smelter Look-up'!$A:$A,MATCH($A30,'Smelter Look-up'!$E:$E,0)))</f>
        <v/>
      </c>
      <c r="C30" s="221" t="str">
        <f>IF(LEN(A30)=0,"",INDEX('Smelter Look-up'!$C:$C,MATCH($A30,'Smelter Look-up'!$E:$E,0)))</f>
        <v/>
      </c>
      <c r="D30" s="283"/>
      <c r="E30" s="217" t="str">
        <f ca="1">IF(ISERROR($V30),"",OFFSET('Smelter Look-up'!$D$4,$V30-4,0)&amp;"")</f>
        <v/>
      </c>
      <c r="F30" s="217" t="str">
        <f ca="1">IF(ISERROR($V30),"",OFFSET('Smelter Look-up'!$E$4,$V30-4,0))</f>
        <v/>
      </c>
      <c r="G30" s="217" t="str">
        <f ca="1">IF(C30=$X$4,"Enter smelter details",IF(ISERROR($V30),"",OFFSET('Smelter Look-up'!$F$4,$V30-4,0)))</f>
        <v/>
      </c>
      <c r="H30" s="218" t="str">
        <f ca="1">IF(ISERROR($V30),"",OFFSET('Smelter Look-up'!$G$4,$V30-4,0))</f>
        <v/>
      </c>
      <c r="I30" s="219" t="str">
        <f ca="1">IF(ISERROR($V30),"",OFFSET('Smelter Look-up'!$H$4,$V30-4,0))</f>
        <v/>
      </c>
      <c r="J30" s="219" t="str">
        <f ca="1">IF(ISERROR($V30),"",OFFSET('Smelter Look-up'!$I$4,$V30-4,0))</f>
        <v/>
      </c>
      <c r="K30" s="273"/>
      <c r="L30" s="273"/>
      <c r="M30" s="273"/>
      <c r="N30" s="273"/>
      <c r="O30" s="273"/>
      <c r="P30" s="220"/>
      <c r="Q30" s="274"/>
      <c r="R30" s="217" t="str">
        <f ca="1">IF(ISERROR($V30),"",OFFSET('Smelter Look-up'!$C$4,$V30-4,0)&amp;"")</f>
        <v/>
      </c>
      <c r="S30" s="225" t="str">
        <f t="shared" ca="1" si="3"/>
        <v/>
      </c>
      <c r="T30" s="225" t="str">
        <f ca="1">IF(B30="","",IF(ISERROR(MATCH($J30,SorP!$B$1:$B$6230,0)),"",INDIRECT("'SorP'!$A$"&amp;MATCH($J30,SorP!$B$1:$B$6230,0))))</f>
        <v/>
      </c>
      <c r="U30" s="241"/>
      <c r="V30" s="275" t="e">
        <f>IF(C30="",NA(),MATCH($B30&amp;$C30,'Smelter Look-up'!$J:$J,0))</f>
        <v>#N/A</v>
      </c>
      <c r="W30" s="276"/>
      <c r="X30" s="276">
        <f t="shared" ca="1" si="4"/>
        <v>0</v>
      </c>
      <c r="Y30" s="276"/>
      <c r="Z30" s="276"/>
      <c r="AB30" s="278" t="str">
        <f t="shared" si="5"/>
        <v/>
      </c>
    </row>
    <row r="31" spans="1:28" s="277" customFormat="1" ht="20.25">
      <c r="A31" s="216"/>
      <c r="B31" s="217" t="str">
        <f>IF(LEN(A31)=0,"",INDEX('Smelter Look-up'!$A:$A,MATCH($A31,'Smelter Look-up'!$E:$E,0)))</f>
        <v/>
      </c>
      <c r="C31" s="221" t="str">
        <f>IF(LEN(A31)=0,"",INDEX('Smelter Look-up'!$C:$C,MATCH($A31,'Smelter Look-up'!$E:$E,0)))</f>
        <v/>
      </c>
      <c r="D31" s="283"/>
      <c r="E31" s="217" t="str">
        <f ca="1">IF(ISERROR($V31),"",OFFSET('Smelter Look-up'!$D$4,$V31-4,0)&amp;"")</f>
        <v/>
      </c>
      <c r="F31" s="217" t="str">
        <f ca="1">IF(ISERROR($V31),"",OFFSET('Smelter Look-up'!$E$4,$V31-4,0))</f>
        <v/>
      </c>
      <c r="G31" s="217" t="str">
        <f ca="1">IF(C31=$X$4,"Enter smelter details",IF(ISERROR($V31),"",OFFSET('Smelter Look-up'!$F$4,$V31-4,0)))</f>
        <v/>
      </c>
      <c r="H31" s="218" t="str">
        <f ca="1">IF(ISERROR($V31),"",OFFSET('Smelter Look-up'!$G$4,$V31-4,0))</f>
        <v/>
      </c>
      <c r="I31" s="219" t="str">
        <f ca="1">IF(ISERROR($V31),"",OFFSET('Smelter Look-up'!$H$4,$V31-4,0))</f>
        <v/>
      </c>
      <c r="J31" s="219" t="str">
        <f ca="1">IF(ISERROR($V31),"",OFFSET('Smelter Look-up'!$I$4,$V31-4,0))</f>
        <v/>
      </c>
      <c r="K31" s="273"/>
      <c r="L31" s="273"/>
      <c r="M31" s="273"/>
      <c r="N31" s="273"/>
      <c r="O31" s="273"/>
      <c r="P31" s="220"/>
      <c r="Q31" s="274"/>
      <c r="R31" s="217" t="str">
        <f ca="1">IF(ISERROR($V31),"",OFFSET('Smelter Look-up'!$C$4,$V31-4,0)&amp;"")</f>
        <v/>
      </c>
      <c r="S31" s="225" t="str">
        <f t="shared" ca="1" si="3"/>
        <v/>
      </c>
      <c r="T31" s="225" t="str">
        <f ca="1">IF(B31="","",IF(ISERROR(MATCH($J31,SorP!$B$1:$B$6230,0)),"",INDIRECT("'SorP'!$A$"&amp;MATCH($J31,SorP!$B$1:$B$6230,0))))</f>
        <v/>
      </c>
      <c r="U31" s="241"/>
      <c r="V31" s="275" t="e">
        <f>IF(C31="",NA(),MATCH($B31&amp;$C31,'Smelter Look-up'!$J:$J,0))</f>
        <v>#N/A</v>
      </c>
      <c r="W31" s="276"/>
      <c r="X31" s="276">
        <f t="shared" ca="1" si="4"/>
        <v>0</v>
      </c>
      <c r="Y31" s="276"/>
      <c r="Z31" s="276"/>
      <c r="AB31" s="278" t="str">
        <f t="shared" si="5"/>
        <v/>
      </c>
    </row>
    <row r="32" spans="1:28" s="277" customFormat="1" ht="20.25">
      <c r="A32" s="216"/>
      <c r="B32" s="217" t="str">
        <f>IF(LEN(A32)=0,"",INDEX('Smelter Look-up'!$A:$A,MATCH($A32,'Smelter Look-up'!$E:$E,0)))</f>
        <v/>
      </c>
      <c r="C32" s="221" t="str">
        <f>IF(LEN(A32)=0,"",INDEX('Smelter Look-up'!$C:$C,MATCH($A32,'Smelter Look-up'!$E:$E,0)))</f>
        <v/>
      </c>
      <c r="D32" s="283"/>
      <c r="E32" s="217" t="str">
        <f ca="1">IF(ISERROR($V32),"",OFFSET('Smelter Look-up'!$D$4,$V32-4,0)&amp;"")</f>
        <v/>
      </c>
      <c r="F32" s="217" t="str">
        <f ca="1">IF(ISERROR($V32),"",OFFSET('Smelter Look-up'!$E$4,$V32-4,0))</f>
        <v/>
      </c>
      <c r="G32" s="217" t="str">
        <f ca="1">IF(C32=$X$4,"Enter smelter details",IF(ISERROR($V32),"",OFFSET('Smelter Look-up'!$F$4,$V32-4,0)))</f>
        <v/>
      </c>
      <c r="H32" s="218" t="str">
        <f ca="1">IF(ISERROR($V32),"",OFFSET('Smelter Look-up'!$G$4,$V32-4,0))</f>
        <v/>
      </c>
      <c r="I32" s="219" t="str">
        <f ca="1">IF(ISERROR($V32),"",OFFSET('Smelter Look-up'!$H$4,$V32-4,0))</f>
        <v/>
      </c>
      <c r="J32" s="219" t="str">
        <f ca="1">IF(ISERROR($V32),"",OFFSET('Smelter Look-up'!$I$4,$V32-4,0))</f>
        <v/>
      </c>
      <c r="K32" s="273"/>
      <c r="L32" s="273"/>
      <c r="M32" s="273"/>
      <c r="N32" s="273"/>
      <c r="O32" s="273"/>
      <c r="P32" s="220"/>
      <c r="Q32" s="274"/>
      <c r="R32" s="217" t="str">
        <f ca="1">IF(ISERROR($V32),"",OFFSET('Smelter Look-up'!$C$4,$V32-4,0)&amp;"")</f>
        <v/>
      </c>
      <c r="S32" s="225" t="str">
        <f t="shared" ca="1" si="3"/>
        <v/>
      </c>
      <c r="T32" s="225" t="str">
        <f ca="1">IF(B32="","",IF(ISERROR(MATCH($J32,SorP!$B$1:$B$6230,0)),"",INDIRECT("'SorP'!$A$"&amp;MATCH($J32,SorP!$B$1:$B$6230,0))))</f>
        <v/>
      </c>
      <c r="U32" s="241"/>
      <c r="V32" s="275" t="e">
        <f>IF(C32="",NA(),MATCH($B32&amp;$C32,'Smelter Look-up'!$J:$J,0))</f>
        <v>#N/A</v>
      </c>
      <c r="W32" s="276"/>
      <c r="X32" s="276">
        <f t="shared" ca="1" si="4"/>
        <v>0</v>
      </c>
      <c r="Y32" s="276"/>
      <c r="Z32" s="276"/>
      <c r="AB32" s="278" t="str">
        <f t="shared" si="5"/>
        <v/>
      </c>
    </row>
    <row r="33" spans="1:28" s="277" customFormat="1" ht="20.25">
      <c r="A33" s="216"/>
      <c r="B33" s="217" t="str">
        <f>IF(LEN(A33)=0,"",INDEX('Smelter Look-up'!$A:$A,MATCH($A33,'Smelter Look-up'!$E:$E,0)))</f>
        <v/>
      </c>
      <c r="C33" s="221" t="str">
        <f>IF(LEN(A33)=0,"",INDEX('Smelter Look-up'!$C:$C,MATCH($A33,'Smelter Look-up'!$E:$E,0)))</f>
        <v/>
      </c>
      <c r="D33" s="283"/>
      <c r="E33" s="217" t="str">
        <f ca="1">IF(ISERROR($V33),"",OFFSET('Smelter Look-up'!$D$4,$V33-4,0)&amp;"")</f>
        <v/>
      </c>
      <c r="F33" s="217" t="str">
        <f ca="1">IF(ISERROR($V33),"",OFFSET('Smelter Look-up'!$E$4,$V33-4,0))</f>
        <v/>
      </c>
      <c r="G33" s="217" t="str">
        <f ca="1">IF(C33=$X$4,"Enter smelter details",IF(ISERROR($V33),"",OFFSET('Smelter Look-up'!$F$4,$V33-4,0)))</f>
        <v/>
      </c>
      <c r="H33" s="218" t="str">
        <f ca="1">IF(ISERROR($V33),"",OFFSET('Smelter Look-up'!$G$4,$V33-4,0))</f>
        <v/>
      </c>
      <c r="I33" s="219" t="str">
        <f ca="1">IF(ISERROR($V33),"",OFFSET('Smelter Look-up'!$H$4,$V33-4,0))</f>
        <v/>
      </c>
      <c r="J33" s="219" t="str">
        <f ca="1">IF(ISERROR($V33),"",OFFSET('Smelter Look-up'!$I$4,$V33-4,0))</f>
        <v/>
      </c>
      <c r="K33" s="273"/>
      <c r="L33" s="273"/>
      <c r="M33" s="273"/>
      <c r="N33" s="273"/>
      <c r="O33" s="273"/>
      <c r="P33" s="220"/>
      <c r="Q33" s="274"/>
      <c r="R33" s="217" t="str">
        <f ca="1">IF(ISERROR($V33),"",OFFSET('Smelter Look-up'!$C$4,$V33-4,0)&amp;"")</f>
        <v/>
      </c>
      <c r="S33" s="225" t="str">
        <f t="shared" ca="1" si="3"/>
        <v/>
      </c>
      <c r="T33" s="225" t="str">
        <f ca="1">IF(B33="","",IF(ISERROR(MATCH($J33,SorP!$B$1:$B$6230,0)),"",INDIRECT("'SorP'!$A$"&amp;MATCH($J33,SorP!$B$1:$B$6230,0))))</f>
        <v/>
      </c>
      <c r="U33" s="241"/>
      <c r="V33" s="275" t="e">
        <f>IF(C33="",NA(),MATCH($B33&amp;$C33,'Smelter Look-up'!$J:$J,0))</f>
        <v>#N/A</v>
      </c>
      <c r="W33" s="276"/>
      <c r="X33" s="276">
        <f t="shared" ca="1" si="4"/>
        <v>0</v>
      </c>
      <c r="Y33" s="276"/>
      <c r="Z33" s="276"/>
      <c r="AB33" s="278" t="str">
        <f t="shared" si="5"/>
        <v/>
      </c>
    </row>
    <row r="34" spans="1:28" s="277" customFormat="1" ht="20.25">
      <c r="A34" s="216"/>
      <c r="B34" s="217" t="str">
        <f>IF(LEN(A34)=0,"",INDEX('Smelter Look-up'!$A:$A,MATCH($A34,'Smelter Look-up'!$E:$E,0)))</f>
        <v/>
      </c>
      <c r="C34" s="221" t="str">
        <f>IF(LEN(A34)=0,"",INDEX('Smelter Look-up'!$C:$C,MATCH($A34,'Smelter Look-up'!$E:$E,0)))</f>
        <v/>
      </c>
      <c r="D34" s="283"/>
      <c r="E34" s="217" t="str">
        <f ca="1">IF(ISERROR($V34),"",OFFSET('Smelter Look-up'!$D$4,$V34-4,0)&amp;"")</f>
        <v/>
      </c>
      <c r="F34" s="217" t="str">
        <f ca="1">IF(ISERROR($V34),"",OFFSET('Smelter Look-up'!$E$4,$V34-4,0))</f>
        <v/>
      </c>
      <c r="G34" s="217" t="str">
        <f ca="1">IF(C34=$X$4,"Enter smelter details",IF(ISERROR($V34),"",OFFSET('Smelter Look-up'!$F$4,$V34-4,0)))</f>
        <v/>
      </c>
      <c r="H34" s="218" t="str">
        <f ca="1">IF(ISERROR($V34),"",OFFSET('Smelter Look-up'!$G$4,$V34-4,0))</f>
        <v/>
      </c>
      <c r="I34" s="219" t="str">
        <f ca="1">IF(ISERROR($V34),"",OFFSET('Smelter Look-up'!$H$4,$V34-4,0))</f>
        <v/>
      </c>
      <c r="J34" s="219" t="str">
        <f ca="1">IF(ISERROR($V34),"",OFFSET('Smelter Look-up'!$I$4,$V34-4,0))</f>
        <v/>
      </c>
      <c r="K34" s="273"/>
      <c r="L34" s="273"/>
      <c r="M34" s="273"/>
      <c r="N34" s="273"/>
      <c r="O34" s="273"/>
      <c r="P34" s="220"/>
      <c r="Q34" s="274"/>
      <c r="R34" s="217" t="str">
        <f ca="1">IF(ISERROR($V34),"",OFFSET('Smelter Look-up'!$C$4,$V34-4,0)&amp;"")</f>
        <v/>
      </c>
      <c r="S34" s="225" t="str">
        <f t="shared" ca="1" si="3"/>
        <v/>
      </c>
      <c r="T34" s="225" t="str">
        <f ca="1">IF(B34="","",IF(ISERROR(MATCH($J34,SorP!$B$1:$B$6230,0)),"",INDIRECT("'SorP'!$A$"&amp;MATCH($J34,SorP!$B$1:$B$6230,0))))</f>
        <v/>
      </c>
      <c r="U34" s="241"/>
      <c r="V34" s="275" t="e">
        <f>IF(C34="",NA(),MATCH($B34&amp;$C34,'Smelter Look-up'!$J:$J,0))</f>
        <v>#N/A</v>
      </c>
      <c r="W34" s="276"/>
      <c r="X34" s="276">
        <f t="shared" ca="1" si="4"/>
        <v>0</v>
      </c>
      <c r="Y34" s="276"/>
      <c r="Z34" s="276"/>
      <c r="AB34" s="278" t="str">
        <f t="shared" si="5"/>
        <v/>
      </c>
    </row>
    <row r="35" spans="1:28" s="277" customFormat="1" ht="20.25">
      <c r="A35" s="216"/>
      <c r="B35" s="217" t="str">
        <f>IF(LEN(A35)=0,"",INDEX('Smelter Look-up'!$A:$A,MATCH($A35,'Smelter Look-up'!$E:$E,0)))</f>
        <v/>
      </c>
      <c r="C35" s="221" t="str">
        <f>IF(LEN(A35)=0,"",INDEX('Smelter Look-up'!$C:$C,MATCH($A35,'Smelter Look-up'!$E:$E,0)))</f>
        <v/>
      </c>
      <c r="D35" s="283"/>
      <c r="E35" s="217" t="str">
        <f ca="1">IF(ISERROR($V35),"",OFFSET('Smelter Look-up'!$D$4,$V35-4,0)&amp;"")</f>
        <v/>
      </c>
      <c r="F35" s="217" t="str">
        <f ca="1">IF(ISERROR($V35),"",OFFSET('Smelter Look-up'!$E$4,$V35-4,0))</f>
        <v/>
      </c>
      <c r="G35" s="217" t="str">
        <f ca="1">IF(C35=$X$4,"Enter smelter details",IF(ISERROR($V35),"",OFFSET('Smelter Look-up'!$F$4,$V35-4,0)))</f>
        <v/>
      </c>
      <c r="H35" s="218" t="str">
        <f ca="1">IF(ISERROR($V35),"",OFFSET('Smelter Look-up'!$G$4,$V35-4,0))</f>
        <v/>
      </c>
      <c r="I35" s="219" t="str">
        <f ca="1">IF(ISERROR($V35),"",OFFSET('Smelter Look-up'!$H$4,$V35-4,0))</f>
        <v/>
      </c>
      <c r="J35" s="219" t="str">
        <f ca="1">IF(ISERROR($V35),"",OFFSET('Smelter Look-up'!$I$4,$V35-4,0))</f>
        <v/>
      </c>
      <c r="K35" s="273"/>
      <c r="L35" s="273"/>
      <c r="M35" s="273"/>
      <c r="N35" s="273"/>
      <c r="O35" s="273"/>
      <c r="P35" s="220"/>
      <c r="Q35" s="274"/>
      <c r="R35" s="217" t="str">
        <f ca="1">IF(ISERROR($V35),"",OFFSET('Smelter Look-up'!$C$4,$V35-4,0)&amp;"")</f>
        <v/>
      </c>
      <c r="S35" s="225" t="str">
        <f t="shared" ca="1" si="3"/>
        <v/>
      </c>
      <c r="T35" s="225" t="str">
        <f ca="1">IF(B35="","",IF(ISERROR(MATCH($J35,SorP!$B$1:$B$6230,0)),"",INDIRECT("'SorP'!$A$"&amp;MATCH($J35,SorP!$B$1:$B$6230,0))))</f>
        <v/>
      </c>
      <c r="U35" s="241"/>
      <c r="V35" s="275" t="e">
        <f>IF(C35="",NA(),MATCH($B35&amp;$C35,'Smelter Look-up'!$J:$J,0))</f>
        <v>#N/A</v>
      </c>
      <c r="W35" s="276"/>
      <c r="X35" s="276">
        <f t="shared" ca="1" si="4"/>
        <v>0</v>
      </c>
      <c r="Y35" s="276"/>
      <c r="Z35" s="276"/>
      <c r="AB35" s="278" t="str">
        <f t="shared" si="5"/>
        <v/>
      </c>
    </row>
    <row r="36" spans="1:28" s="277" customFormat="1" ht="20.25">
      <c r="A36" s="216"/>
      <c r="B36" s="217" t="str">
        <f>IF(LEN(A36)=0,"",INDEX('Smelter Look-up'!$A:$A,MATCH($A36,'Smelter Look-up'!$E:$E,0)))</f>
        <v/>
      </c>
      <c r="C36" s="221" t="str">
        <f>IF(LEN(A36)=0,"",INDEX('Smelter Look-up'!$C:$C,MATCH($A36,'Smelter Look-up'!$E:$E,0)))</f>
        <v/>
      </c>
      <c r="D36" s="283"/>
      <c r="E36" s="217" t="str">
        <f ca="1">IF(ISERROR($V36),"",OFFSET('Smelter Look-up'!$D$4,$V36-4,0)&amp;"")</f>
        <v/>
      </c>
      <c r="F36" s="217" t="str">
        <f ca="1">IF(ISERROR($V36),"",OFFSET('Smelter Look-up'!$E$4,$V36-4,0))</f>
        <v/>
      </c>
      <c r="G36" s="217" t="str">
        <f ca="1">IF(C36=$X$4,"Enter smelter details",IF(ISERROR($V36),"",OFFSET('Smelter Look-up'!$F$4,$V36-4,0)))</f>
        <v/>
      </c>
      <c r="H36" s="218" t="str">
        <f ca="1">IF(ISERROR($V36),"",OFFSET('Smelter Look-up'!$G$4,$V36-4,0))</f>
        <v/>
      </c>
      <c r="I36" s="219" t="str">
        <f ca="1">IF(ISERROR($V36),"",OFFSET('Smelter Look-up'!$H$4,$V36-4,0))</f>
        <v/>
      </c>
      <c r="J36" s="219" t="str">
        <f ca="1">IF(ISERROR($V36),"",OFFSET('Smelter Look-up'!$I$4,$V36-4,0))</f>
        <v/>
      </c>
      <c r="K36" s="273"/>
      <c r="L36" s="273"/>
      <c r="M36" s="273"/>
      <c r="N36" s="273"/>
      <c r="O36" s="273"/>
      <c r="P36" s="220"/>
      <c r="Q36" s="274"/>
      <c r="R36" s="217" t="str">
        <f ca="1">IF(ISERROR($V36),"",OFFSET('Smelter Look-up'!$C$4,$V36-4,0)&amp;"")</f>
        <v/>
      </c>
      <c r="S36" s="225" t="str">
        <f t="shared" ca="1" si="3"/>
        <v/>
      </c>
      <c r="T36" s="225" t="str">
        <f ca="1">IF(B36="","",IF(ISERROR(MATCH($J36,SorP!$B$1:$B$6230,0)),"",INDIRECT("'SorP'!$A$"&amp;MATCH($J36,SorP!$B$1:$B$6230,0))))</f>
        <v/>
      </c>
      <c r="U36" s="241"/>
      <c r="V36" s="275" t="e">
        <f>IF(C36="",NA(),MATCH($B36&amp;$C36,'Smelter Look-up'!$J:$J,0))</f>
        <v>#N/A</v>
      </c>
      <c r="W36" s="276"/>
      <c r="X36" s="276">
        <f t="shared" ca="1" si="4"/>
        <v>0</v>
      </c>
      <c r="Y36" s="276"/>
      <c r="Z36" s="276"/>
      <c r="AB36" s="278" t="str">
        <f t="shared" si="5"/>
        <v/>
      </c>
    </row>
    <row r="37" spans="1:28" s="277" customFormat="1" ht="20.25">
      <c r="A37" s="216"/>
      <c r="B37" s="217" t="str">
        <f>IF(LEN(A37)=0,"",INDEX('Smelter Look-up'!$A:$A,MATCH($A37,'Smelter Look-up'!$E:$E,0)))</f>
        <v/>
      </c>
      <c r="C37" s="221" t="str">
        <f>IF(LEN(A37)=0,"",INDEX('Smelter Look-up'!$C:$C,MATCH($A37,'Smelter Look-up'!$E:$E,0)))</f>
        <v/>
      </c>
      <c r="D37" s="283"/>
      <c r="E37" s="217" t="str">
        <f ca="1">IF(ISERROR($V37),"",OFFSET('Smelter Look-up'!$D$4,$V37-4,0)&amp;"")</f>
        <v/>
      </c>
      <c r="F37" s="217" t="str">
        <f ca="1">IF(ISERROR($V37),"",OFFSET('Smelter Look-up'!$E$4,$V37-4,0))</f>
        <v/>
      </c>
      <c r="G37" s="217" t="str">
        <f ca="1">IF(C37=$X$4,"Enter smelter details",IF(ISERROR($V37),"",OFFSET('Smelter Look-up'!$F$4,$V37-4,0)))</f>
        <v/>
      </c>
      <c r="H37" s="218" t="str">
        <f ca="1">IF(ISERROR($V37),"",OFFSET('Smelter Look-up'!$G$4,$V37-4,0))</f>
        <v/>
      </c>
      <c r="I37" s="219" t="str">
        <f ca="1">IF(ISERROR($V37),"",OFFSET('Smelter Look-up'!$H$4,$V37-4,0))</f>
        <v/>
      </c>
      <c r="J37" s="219" t="str">
        <f ca="1">IF(ISERROR($V37),"",OFFSET('Smelter Look-up'!$I$4,$V37-4,0))</f>
        <v/>
      </c>
      <c r="K37" s="273"/>
      <c r="L37" s="273"/>
      <c r="M37" s="273"/>
      <c r="N37" s="273"/>
      <c r="O37" s="273"/>
      <c r="P37" s="220"/>
      <c r="Q37" s="274"/>
      <c r="R37" s="217" t="str">
        <f ca="1">IF(ISERROR($V37),"",OFFSET('Smelter Look-up'!$C$4,$V37-4,0)&amp;"")</f>
        <v/>
      </c>
      <c r="S37" s="225" t="str">
        <f t="shared" ca="1" si="3"/>
        <v/>
      </c>
      <c r="T37" s="225" t="str">
        <f ca="1">IF(B37="","",IF(ISERROR(MATCH($J37,SorP!$B$1:$B$6230,0)),"",INDIRECT("'SorP'!$A$"&amp;MATCH($J37,SorP!$B$1:$B$6230,0))))</f>
        <v/>
      </c>
      <c r="U37" s="241"/>
      <c r="V37" s="275" t="e">
        <f>IF(C37="",NA(),MATCH($B37&amp;$C37,'Smelter Look-up'!$J:$J,0))</f>
        <v>#N/A</v>
      </c>
      <c r="W37" s="276"/>
      <c r="X37" s="276">
        <f t="shared" ca="1" si="4"/>
        <v>0</v>
      </c>
      <c r="Y37" s="276"/>
      <c r="Z37" s="276"/>
      <c r="AB37" s="278" t="str">
        <f t="shared" si="5"/>
        <v/>
      </c>
    </row>
    <row r="38" spans="1:28" s="277" customFormat="1" ht="20.25">
      <c r="A38" s="216"/>
      <c r="B38" s="217" t="str">
        <f>IF(LEN(A38)=0,"",INDEX('Smelter Look-up'!$A:$A,MATCH($A38,'Smelter Look-up'!$E:$E,0)))</f>
        <v/>
      </c>
      <c r="C38" s="221" t="str">
        <f>IF(LEN(A38)=0,"",INDEX('Smelter Look-up'!$C:$C,MATCH($A38,'Smelter Look-up'!$E:$E,0)))</f>
        <v/>
      </c>
      <c r="D38" s="283"/>
      <c r="E38" s="217" t="str">
        <f ca="1">IF(ISERROR($V38),"",OFFSET('Smelter Look-up'!$D$4,$V38-4,0)&amp;"")</f>
        <v/>
      </c>
      <c r="F38" s="217" t="str">
        <f ca="1">IF(ISERROR($V38),"",OFFSET('Smelter Look-up'!$E$4,$V38-4,0))</f>
        <v/>
      </c>
      <c r="G38" s="217" t="str">
        <f ca="1">IF(C38=$X$4,"Enter smelter details",IF(ISERROR($V38),"",OFFSET('Smelter Look-up'!$F$4,$V38-4,0)))</f>
        <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
      </c>
      <c r="T38" s="225" t="str">
        <f ca="1">IF(B38="","",IF(ISERROR(MATCH($J38,SorP!$B$1:$B$6230,0)),"",INDIRECT("'SorP'!$A$"&amp;MATCH($J38,SorP!$B$1:$B$6230,0))))</f>
        <v/>
      </c>
      <c r="U38" s="241"/>
      <c r="V38" s="275" t="e">
        <f>IF(C38="",NA(),MATCH($B38&amp;$C38,'Smelter Look-up'!$J:$J,0))</f>
        <v>#N/A</v>
      </c>
      <c r="W38" s="276"/>
      <c r="X38" s="276">
        <f t="shared" ref="X38:X68" ca="1" si="7">IF(AND(C38="Smelter not listed",OR(LEN(D38)=0,LEN(E38)=0)),1,0)</f>
        <v>0</v>
      </c>
      <c r="Y38" s="276"/>
      <c r="Z38" s="276"/>
      <c r="AB38" s="278" t="str">
        <f t="shared" ref="AB38:AB68" si="8">B38&amp;C38</f>
        <v/>
      </c>
    </row>
    <row r="39" spans="1:28" s="277" customFormat="1" ht="20.25">
      <c r="A39" s="216"/>
      <c r="B39" s="217" t="str">
        <f>IF(LEN(A39)=0,"",INDEX('Smelter Look-up'!$A:$A,MATCH($A39,'Smelter Look-up'!$E:$E,0)))</f>
        <v/>
      </c>
      <c r="C39" s="221" t="str">
        <f>IF(LEN(A39)=0,"",INDEX('Smelter Look-up'!$C:$C,MATCH($A39,'Smelter Look-up'!$E:$E,0)))</f>
        <v/>
      </c>
      <c r="D39" s="283"/>
      <c r="E39" s="217" t="str">
        <f ca="1">IF(ISERROR($V39),"",OFFSET('Smelter Look-up'!$D$4,$V39-4,0)&amp;"")</f>
        <v/>
      </c>
      <c r="F39" s="217" t="str">
        <f ca="1">IF(ISERROR($V39),"",OFFSET('Smelter Look-up'!$E$4,$V39-4,0))</f>
        <v/>
      </c>
      <c r="G39" s="217" t="str">
        <f ca="1">IF(C39=$X$4,"Enter smelter details",IF(ISERROR($V39),"",OFFSET('Smelter Look-up'!$F$4,$V39-4,0)))</f>
        <v/>
      </c>
      <c r="H39" s="218" t="str">
        <f ca="1">IF(ISERROR($V39),"",OFFSET('Smelter Look-up'!$G$4,$V39-4,0))</f>
        <v/>
      </c>
      <c r="I39" s="219" t="str">
        <f ca="1">IF(ISERROR($V39),"",OFFSET('Smelter Look-up'!$H$4,$V39-4,0))</f>
        <v/>
      </c>
      <c r="J39" s="219" t="str">
        <f ca="1">IF(ISERROR($V39),"",OFFSET('Smelter Look-up'!$I$4,$V39-4,0))</f>
        <v/>
      </c>
      <c r="K39" s="273"/>
      <c r="L39" s="273"/>
      <c r="M39" s="273"/>
      <c r="N39" s="273"/>
      <c r="O39" s="273"/>
      <c r="P39" s="220"/>
      <c r="Q39" s="274"/>
      <c r="R39" s="217" t="str">
        <f ca="1">IF(ISERROR($V39),"",OFFSET('Smelter Look-up'!$C$4,$V39-4,0)&amp;"")</f>
        <v/>
      </c>
      <c r="S39" s="225" t="str">
        <f t="shared" ca="1" si="6"/>
        <v/>
      </c>
      <c r="T39" s="225" t="str">
        <f ca="1">IF(B39="","",IF(ISERROR(MATCH($J39,SorP!$B$1:$B$6230,0)),"",INDIRECT("'SorP'!$A$"&amp;MATCH($J39,SorP!$B$1:$B$6230,0))))</f>
        <v/>
      </c>
      <c r="U39" s="241"/>
      <c r="V39" s="275" t="e">
        <f>IF(C39="",NA(),MATCH($B39&amp;$C39,'Smelter Look-up'!$J:$J,0))</f>
        <v>#N/A</v>
      </c>
      <c r="W39" s="276"/>
      <c r="X39" s="276">
        <f t="shared" ca="1" si="7"/>
        <v>0</v>
      </c>
      <c r="Y39" s="276"/>
      <c r="Z39" s="276"/>
      <c r="AB39" s="278" t="str">
        <f t="shared" si="8"/>
        <v/>
      </c>
    </row>
    <row r="40" spans="1:28" s="277" customFormat="1" ht="20.25">
      <c r="A40" s="216"/>
      <c r="B40" s="217" t="str">
        <f>IF(LEN(A40)=0,"",INDEX('Smelter Look-up'!$A:$A,MATCH($A40,'Smelter Look-up'!$E:$E,0)))</f>
        <v/>
      </c>
      <c r="C40" s="221" t="str">
        <f>IF(LEN(A40)=0,"",INDEX('Smelter Look-up'!$C:$C,MATCH($A40,'Smelter Look-up'!$E:$E,0)))</f>
        <v/>
      </c>
      <c r="D40" s="283"/>
      <c r="E40" s="217" t="str">
        <f ca="1">IF(ISERROR($V40),"",OFFSET('Smelter Look-up'!$D$4,$V40-4,0)&amp;"")</f>
        <v/>
      </c>
      <c r="F40" s="217" t="str">
        <f ca="1">IF(ISERROR($V40),"",OFFSET('Smelter Look-up'!$E$4,$V40-4,0))</f>
        <v/>
      </c>
      <c r="G40" s="217" t="str">
        <f ca="1">IF(C40=$X$4,"Enter smelter details",IF(ISERROR($V40),"",OFFSET('Smelter Look-up'!$F$4,$V40-4,0)))</f>
        <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
      </c>
      <c r="T40" s="225" t="str">
        <f ca="1">IF(B40="","",IF(ISERROR(MATCH($J40,SorP!$B$1:$B$6230,0)),"",INDIRECT("'SorP'!$A$"&amp;MATCH($J40,SorP!$B$1:$B$6230,0))))</f>
        <v/>
      </c>
      <c r="U40" s="241"/>
      <c r="V40" s="275" t="e">
        <f>IF(C40="",NA(),MATCH($B40&amp;$C40,'Smelter Look-up'!$J:$J,0))</f>
        <v>#N/A</v>
      </c>
      <c r="W40" s="276"/>
      <c r="X40" s="276">
        <f t="shared" ca="1" si="7"/>
        <v>0</v>
      </c>
      <c r="Y40" s="276"/>
      <c r="Z40" s="276"/>
      <c r="AB40" s="278" t="str">
        <f t="shared" si="8"/>
        <v/>
      </c>
    </row>
    <row r="41" spans="1:28" s="277" customFormat="1" ht="20.25">
      <c r="A41" s="216"/>
      <c r="B41" s="217" t="str">
        <f>IF(LEN(A41)=0,"",INDEX('Smelter Look-up'!$A:$A,MATCH($A41,'Smelter Look-up'!$E:$E,0)))</f>
        <v/>
      </c>
      <c r="C41" s="221" t="str">
        <f>IF(LEN(A41)=0,"",INDEX('Smelter Look-up'!$C:$C,MATCH($A41,'Smelter Look-up'!$E:$E,0)))</f>
        <v/>
      </c>
      <c r="D41" s="283"/>
      <c r="E41" s="217" t="str">
        <f ca="1">IF(ISERROR($V41),"",OFFSET('Smelter Look-up'!$D$4,$V41-4,0)&amp;"")</f>
        <v/>
      </c>
      <c r="F41" s="217" t="str">
        <f ca="1">IF(ISERROR($V41),"",OFFSET('Smelter Look-up'!$E$4,$V41-4,0))</f>
        <v/>
      </c>
      <c r="G41" s="217" t="str">
        <f ca="1">IF(C41=$X$4,"Enter smelter details",IF(ISERROR($V41),"",OFFSET('Smelter Look-up'!$F$4,$V41-4,0)))</f>
        <v/>
      </c>
      <c r="H41" s="218" t="str">
        <f ca="1">IF(ISERROR($V41),"",OFFSET('Smelter Look-up'!$G$4,$V41-4,0))</f>
        <v/>
      </c>
      <c r="I41" s="219" t="str">
        <f ca="1">IF(ISERROR($V41),"",OFFSET('Smelter Look-up'!$H$4,$V41-4,0))</f>
        <v/>
      </c>
      <c r="J41" s="219" t="str">
        <f ca="1">IF(ISERROR($V41),"",OFFSET('Smelter Look-up'!$I$4,$V41-4,0))</f>
        <v/>
      </c>
      <c r="K41" s="273"/>
      <c r="L41" s="273"/>
      <c r="M41" s="273"/>
      <c r="N41" s="273"/>
      <c r="O41" s="273"/>
      <c r="P41" s="220"/>
      <c r="Q41" s="274"/>
      <c r="R41" s="217" t="str">
        <f ca="1">IF(ISERROR($V41),"",OFFSET('Smelter Look-up'!$C$4,$V41-4,0)&amp;"")</f>
        <v/>
      </c>
      <c r="S41" s="225" t="str">
        <f t="shared" ca="1" si="6"/>
        <v/>
      </c>
      <c r="T41" s="225" t="str">
        <f ca="1">IF(B41="","",IF(ISERROR(MATCH($J41,SorP!$B$1:$B$6230,0)),"",INDIRECT("'SorP'!$A$"&amp;MATCH($J41,SorP!$B$1:$B$6230,0))))</f>
        <v/>
      </c>
      <c r="U41" s="241"/>
      <c r="V41" s="275" t="e">
        <f>IF(C41="",NA(),MATCH($B41&amp;$C41,'Smelter Look-up'!$J:$J,0))</f>
        <v>#N/A</v>
      </c>
      <c r="W41" s="276"/>
      <c r="X41" s="276">
        <f t="shared" ca="1" si="7"/>
        <v>0</v>
      </c>
      <c r="Y41" s="276"/>
      <c r="Z41" s="276"/>
      <c r="AB41" s="278" t="str">
        <f t="shared" si="8"/>
        <v/>
      </c>
    </row>
    <row r="42" spans="1:28" s="277" customFormat="1" ht="20.25">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
      </c>
      <c r="T42" s="225" t="str">
        <f ca="1">IF(B42="","",IF(ISERROR(MATCH($J42,SorP!$B$1:$B$6230,0)),"",INDIRECT("'SorP'!$A$"&amp;MATCH($J42,SorP!$B$1:$B$6230,0))))</f>
        <v/>
      </c>
      <c r="U42" s="241"/>
      <c r="V42" s="275" t="e">
        <f>IF(C42="",NA(),MATCH($B42&amp;$C42,'Smelter Look-up'!$J:$J,0))</f>
        <v>#N/A</v>
      </c>
      <c r="W42" s="276"/>
      <c r="X42" s="276">
        <f t="shared" ca="1" si="7"/>
        <v>0</v>
      </c>
      <c r="Y42" s="276"/>
      <c r="Z42" s="276"/>
      <c r="AB42" s="278" t="str">
        <f t="shared" si="8"/>
        <v/>
      </c>
    </row>
    <row r="43" spans="1:28" s="277" customFormat="1" ht="20.25">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
      </c>
      <c r="T43" s="225" t="str">
        <f ca="1">IF(B43="","",IF(ISERROR(MATCH($J43,SorP!$B$1:$B$6230,0)),"",INDIRECT("'SorP'!$A$"&amp;MATCH($J43,SorP!$B$1:$B$6230,0))))</f>
        <v/>
      </c>
      <c r="U43" s="241"/>
      <c r="V43" s="275" t="e">
        <f>IF(C43="",NA(),MATCH($B43&amp;$C43,'Smelter Look-up'!$J:$J,0))</f>
        <v>#N/A</v>
      </c>
      <c r="W43" s="276"/>
      <c r="X43" s="276">
        <f t="shared" ca="1" si="7"/>
        <v>0</v>
      </c>
      <c r="Y43" s="276"/>
      <c r="Z43" s="276"/>
      <c r="AB43" s="278" t="str">
        <f t="shared" si="8"/>
        <v/>
      </c>
    </row>
    <row r="44" spans="1:28" s="277" customFormat="1" ht="20.25">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6"/>
        <v/>
      </c>
      <c r="T44" s="225" t="str">
        <f ca="1">IF(B44="","",IF(ISERROR(MATCH($J44,SorP!$B$1:$B$6230,0)),"",INDIRECT("'SorP'!$A$"&amp;MATCH($J44,SorP!$B$1:$B$6230,0))))</f>
        <v/>
      </c>
      <c r="U44" s="241"/>
      <c r="V44" s="275" t="e">
        <f>IF(C44="",NA(),MATCH($B44&amp;$C44,'Smelter Look-up'!$J:$J,0))</f>
        <v>#N/A</v>
      </c>
      <c r="W44" s="276"/>
      <c r="X44" s="276">
        <f t="shared" ca="1" si="7"/>
        <v>0</v>
      </c>
      <c r="Y44" s="276"/>
      <c r="Z44" s="276"/>
      <c r="AB44" s="278" t="str">
        <f t="shared" si="8"/>
        <v/>
      </c>
    </row>
    <row r="45" spans="1:28" s="277" customFormat="1" ht="20.25">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6"/>
        <v/>
      </c>
      <c r="T45" s="225" t="str">
        <f ca="1">IF(B45="","",IF(ISERROR(MATCH($J45,SorP!$B$1:$B$6230,0)),"",INDIRECT("'SorP'!$A$"&amp;MATCH($J45,SorP!$B$1:$B$6230,0))))</f>
        <v/>
      </c>
      <c r="U45" s="241"/>
      <c r="V45" s="275" t="e">
        <f>IF(C45="",NA(),MATCH($B45&amp;$C45,'Smelter Look-up'!$J:$J,0))</f>
        <v>#N/A</v>
      </c>
      <c r="W45" s="276"/>
      <c r="X45" s="276">
        <f t="shared" ca="1" si="7"/>
        <v>0</v>
      </c>
      <c r="Y45" s="276"/>
      <c r="Z45" s="276"/>
      <c r="AB45" s="278" t="str">
        <f t="shared" si="8"/>
        <v/>
      </c>
    </row>
    <row r="46" spans="1:28" s="277" customFormat="1" ht="20.25">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6"/>
        <v/>
      </c>
      <c r="T46" s="225" t="str">
        <f ca="1">IF(B46="","",IF(ISERROR(MATCH($J46,SorP!$B$1:$B$6230,0)),"",INDIRECT("'SorP'!$A$"&amp;MATCH($J46,SorP!$B$1:$B$6230,0))))</f>
        <v/>
      </c>
      <c r="U46" s="241"/>
      <c r="V46" s="275" t="e">
        <f>IF(C46="",NA(),MATCH($B46&amp;$C46,'Smelter Look-up'!$J:$J,0))</f>
        <v>#N/A</v>
      </c>
      <c r="W46" s="276"/>
      <c r="X46" s="276">
        <f t="shared" ca="1" si="7"/>
        <v>0</v>
      </c>
      <c r="Y46" s="276"/>
      <c r="Z46" s="276"/>
      <c r="AB46" s="278" t="str">
        <f t="shared" si="8"/>
        <v/>
      </c>
    </row>
    <row r="47" spans="1:28" s="277" customFormat="1" ht="20.25">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6"/>
        <v/>
      </c>
      <c r="T47" s="225" t="str">
        <f ca="1">IF(B47="","",IF(ISERROR(MATCH($J47,SorP!$B$1:$B$6230,0)),"",INDIRECT("'SorP'!$A$"&amp;MATCH($J47,SorP!$B$1:$B$6230,0))))</f>
        <v/>
      </c>
      <c r="U47" s="241"/>
      <c r="V47" s="275" t="e">
        <f>IF(C47="",NA(),MATCH($B47&amp;$C47,'Smelter Look-up'!$J:$J,0))</f>
        <v>#N/A</v>
      </c>
      <c r="W47" s="276"/>
      <c r="X47" s="276">
        <f t="shared" ca="1" si="7"/>
        <v>0</v>
      </c>
      <c r="Y47" s="276"/>
      <c r="Z47" s="276"/>
      <c r="AB47" s="278" t="str">
        <f t="shared" si="8"/>
        <v/>
      </c>
    </row>
    <row r="48" spans="1:28" s="277" customFormat="1" ht="20.25">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6"/>
        <v/>
      </c>
      <c r="T48" s="225" t="str">
        <f ca="1">IF(B48="","",IF(ISERROR(MATCH($J48,SorP!$B$1:$B$6230,0)),"",INDIRECT("'SorP'!$A$"&amp;MATCH($J48,SorP!$B$1:$B$6230,0))))</f>
        <v/>
      </c>
      <c r="U48" s="241"/>
      <c r="V48" s="275" t="e">
        <f>IF(C48="",NA(),MATCH($B48&amp;$C48,'Smelter Look-up'!$J:$J,0))</f>
        <v>#N/A</v>
      </c>
      <c r="W48" s="276"/>
      <c r="X48" s="276">
        <f t="shared" ca="1" si="7"/>
        <v>0</v>
      </c>
      <c r="Y48" s="276"/>
      <c r="Z48" s="276"/>
      <c r="AB48" s="278" t="str">
        <f t="shared" si="8"/>
        <v/>
      </c>
    </row>
    <row r="49" spans="1:28" s="277" customFormat="1" ht="20.25">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6"/>
        <v/>
      </c>
      <c r="T49" s="225" t="str">
        <f ca="1">IF(B49="","",IF(ISERROR(MATCH($J49,SorP!$B$1:$B$6230,0)),"",INDIRECT("'SorP'!$A$"&amp;MATCH($J49,SorP!$B$1:$B$6230,0))))</f>
        <v/>
      </c>
      <c r="U49" s="241"/>
      <c r="V49" s="275" t="e">
        <f>IF(C49="",NA(),MATCH($B49&amp;$C49,'Smelter Look-up'!$J:$J,0))</f>
        <v>#N/A</v>
      </c>
      <c r="W49" s="276"/>
      <c r="X49" s="276">
        <f t="shared" ca="1" si="7"/>
        <v>0</v>
      </c>
      <c r="Y49" s="276"/>
      <c r="Z49" s="276"/>
      <c r="AB49" s="278" t="str">
        <f t="shared" si="8"/>
        <v/>
      </c>
    </row>
    <row r="50" spans="1:28" s="277" customFormat="1" ht="20.25">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6"/>
        <v/>
      </c>
      <c r="T50" s="225" t="str">
        <f ca="1">IF(B50="","",IF(ISERROR(MATCH($J50,SorP!$B$1:$B$6230,0)),"",INDIRECT("'SorP'!$A$"&amp;MATCH($J50,SorP!$B$1:$B$6230,0))))</f>
        <v/>
      </c>
      <c r="U50" s="241"/>
      <c r="V50" s="275" t="e">
        <f>IF(C50="",NA(),MATCH($B50&amp;$C50,'Smelter Look-up'!$J:$J,0))</f>
        <v>#N/A</v>
      </c>
      <c r="W50" s="276"/>
      <c r="X50" s="276">
        <f t="shared" ca="1" si="7"/>
        <v>0</v>
      </c>
      <c r="Y50" s="276"/>
      <c r="Z50" s="276"/>
      <c r="AB50" s="278" t="str">
        <f t="shared" si="8"/>
        <v/>
      </c>
    </row>
    <row r="51" spans="1:28" s="277" customFormat="1" ht="20.25">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6"/>
        <v/>
      </c>
      <c r="T51" s="225" t="str">
        <f ca="1">IF(B51="","",IF(ISERROR(MATCH($J51,SorP!$B$1:$B$6230,0)),"",INDIRECT("'SorP'!$A$"&amp;MATCH($J51,SorP!$B$1:$B$6230,0))))</f>
        <v/>
      </c>
      <c r="U51" s="241"/>
      <c r="V51" s="275" t="e">
        <f>IF(C51="",NA(),MATCH($B51&amp;$C51,'Smelter Look-up'!$J:$J,0))</f>
        <v>#N/A</v>
      </c>
      <c r="W51" s="276"/>
      <c r="X51" s="276">
        <f t="shared" ca="1" si="7"/>
        <v>0</v>
      </c>
      <c r="Y51" s="276"/>
      <c r="Z51" s="276"/>
      <c r="AB51" s="278" t="str">
        <f t="shared" si="8"/>
        <v/>
      </c>
    </row>
    <row r="52" spans="1:28" s="277" customFormat="1" ht="20.25">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6"/>
        <v/>
      </c>
      <c r="T52" s="225" t="str">
        <f ca="1">IF(B52="","",IF(ISERROR(MATCH($J52,SorP!$B$1:$B$6230,0)),"",INDIRECT("'SorP'!$A$"&amp;MATCH($J52,SorP!$B$1:$B$6230,0))))</f>
        <v/>
      </c>
      <c r="U52" s="241"/>
      <c r="V52" s="275" t="e">
        <f>IF(C52="",NA(),MATCH($B52&amp;$C52,'Smelter Look-up'!$J:$J,0))</f>
        <v>#N/A</v>
      </c>
      <c r="W52" s="276"/>
      <c r="X52" s="276">
        <f t="shared" ca="1" si="7"/>
        <v>0</v>
      </c>
      <c r="Y52" s="276"/>
      <c r="Z52" s="276"/>
      <c r="AB52" s="278" t="str">
        <f t="shared" si="8"/>
        <v/>
      </c>
    </row>
    <row r="53" spans="1:28" s="277" customFormat="1" ht="20.25">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6"/>
        <v/>
      </c>
      <c r="T53" s="225" t="str">
        <f ca="1">IF(B53="","",IF(ISERROR(MATCH($J53,SorP!$B$1:$B$6230,0)),"",INDIRECT("'SorP'!$A$"&amp;MATCH($J53,SorP!$B$1:$B$6230,0))))</f>
        <v/>
      </c>
      <c r="U53" s="241"/>
      <c r="V53" s="275" t="e">
        <f>IF(C53="",NA(),MATCH($B53&amp;$C53,'Smelter Look-up'!$J:$J,0))</f>
        <v>#N/A</v>
      </c>
      <c r="W53" s="276"/>
      <c r="X53" s="276">
        <f t="shared" ca="1" si="7"/>
        <v>0</v>
      </c>
      <c r="Y53" s="276"/>
      <c r="Z53" s="276"/>
      <c r="AB53" s="278" t="str">
        <f t="shared" si="8"/>
        <v/>
      </c>
    </row>
    <row r="54" spans="1:28" s="277" customFormat="1" ht="20.25">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6"/>
        <v/>
      </c>
      <c r="T54" s="225" t="str">
        <f ca="1">IF(B54="","",IF(ISERROR(MATCH($J54,SorP!$B$1:$B$6230,0)),"",INDIRECT("'SorP'!$A$"&amp;MATCH($J54,SorP!$B$1:$B$6230,0))))</f>
        <v/>
      </c>
      <c r="U54" s="241"/>
      <c r="V54" s="275" t="e">
        <f>IF(C54="",NA(),MATCH($B54&amp;$C54,'Smelter Look-up'!$J:$J,0))</f>
        <v>#N/A</v>
      </c>
      <c r="W54" s="276"/>
      <c r="X54" s="276">
        <f t="shared" ca="1" si="7"/>
        <v>0</v>
      </c>
      <c r="Y54" s="276"/>
      <c r="Z54" s="276"/>
      <c r="AB54" s="278" t="str">
        <f t="shared" si="8"/>
        <v/>
      </c>
    </row>
    <row r="55" spans="1:28" s="277" customFormat="1" ht="20.25">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6"/>
        <v/>
      </c>
      <c r="T55" s="225" t="str">
        <f ca="1">IF(B55="","",IF(ISERROR(MATCH($J55,SorP!$B$1:$B$6230,0)),"",INDIRECT("'SorP'!$A$"&amp;MATCH($J55,SorP!$B$1:$B$6230,0))))</f>
        <v/>
      </c>
      <c r="U55" s="241"/>
      <c r="V55" s="275" t="e">
        <f>IF(C55="",NA(),MATCH($B55&amp;$C55,'Smelter Look-up'!$J:$J,0))</f>
        <v>#N/A</v>
      </c>
      <c r="W55" s="276"/>
      <c r="X55" s="276">
        <f t="shared" ca="1" si="7"/>
        <v>0</v>
      </c>
      <c r="Y55" s="276"/>
      <c r="Z55" s="276"/>
      <c r="AB55" s="278" t="str">
        <f t="shared" si="8"/>
        <v/>
      </c>
    </row>
    <row r="56" spans="1:28" s="277" customFormat="1" ht="20.25">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6"/>
        <v/>
      </c>
      <c r="T56" s="225" t="str">
        <f ca="1">IF(B56="","",IF(ISERROR(MATCH($J56,SorP!$B$1:$B$6230,0)),"",INDIRECT("'SorP'!$A$"&amp;MATCH($J56,SorP!$B$1:$B$6230,0))))</f>
        <v/>
      </c>
      <c r="U56" s="241"/>
      <c r="V56" s="275" t="e">
        <f>IF(C56="",NA(),MATCH($B56&amp;$C56,'Smelter Look-up'!$J:$J,0))</f>
        <v>#N/A</v>
      </c>
      <c r="W56" s="276"/>
      <c r="X56" s="276">
        <f t="shared" ca="1" si="7"/>
        <v>0</v>
      </c>
      <c r="Y56" s="276"/>
      <c r="Z56" s="276"/>
      <c r="AB56" s="278" t="str">
        <f t="shared" si="8"/>
        <v/>
      </c>
    </row>
    <row r="57" spans="1:28" s="277" customFormat="1" ht="20.25">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
      </c>
      <c r="T57" s="225" t="str">
        <f ca="1">IF(B57="","",IF(ISERROR(MATCH($J57,SorP!$B$1:$B$6230,0)),"",INDIRECT("'SorP'!$A$"&amp;MATCH($J57,SorP!$B$1:$B$6230,0))))</f>
        <v/>
      </c>
      <c r="U57" s="241"/>
      <c r="V57" s="275" t="e">
        <f>IF(C57="",NA(),MATCH($B57&amp;$C57,'Smelter Look-up'!$J:$J,0))</f>
        <v>#N/A</v>
      </c>
      <c r="W57" s="276"/>
      <c r="X57" s="276">
        <f t="shared" ca="1" si="7"/>
        <v>0</v>
      </c>
      <c r="Y57" s="276"/>
      <c r="Z57" s="276"/>
      <c r="AB57" s="278" t="str">
        <f t="shared" si="8"/>
        <v/>
      </c>
    </row>
    <row r="58" spans="1:28" s="277" customFormat="1" ht="20.25">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6"/>
        <v/>
      </c>
      <c r="T58" s="225" t="str">
        <f ca="1">IF(B58="","",IF(ISERROR(MATCH($J58,SorP!$B$1:$B$6230,0)),"",INDIRECT("'SorP'!$A$"&amp;MATCH($J58,SorP!$B$1:$B$6230,0))))</f>
        <v/>
      </c>
      <c r="U58" s="241"/>
      <c r="V58" s="275" t="e">
        <f>IF(C58="",NA(),MATCH($B58&amp;$C58,'Smelter Look-up'!$J:$J,0))</f>
        <v>#N/A</v>
      </c>
      <c r="W58" s="276"/>
      <c r="X58" s="276">
        <f t="shared" ca="1" si="7"/>
        <v>0</v>
      </c>
      <c r="Y58" s="276"/>
      <c r="Z58" s="276"/>
      <c r="AB58" s="278" t="str">
        <f t="shared" si="8"/>
        <v/>
      </c>
    </row>
    <row r="59" spans="1:28" s="277" customFormat="1" ht="20.25">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6"/>
        <v/>
      </c>
      <c r="T59" s="225" t="str">
        <f ca="1">IF(B59="","",IF(ISERROR(MATCH($J59,SorP!$B$1:$B$6230,0)),"",INDIRECT("'SorP'!$A$"&amp;MATCH($J59,SorP!$B$1:$B$6230,0))))</f>
        <v/>
      </c>
      <c r="U59" s="241"/>
      <c r="V59" s="275" t="e">
        <f>IF(C59="",NA(),MATCH($B59&amp;$C59,'Smelter Look-up'!$J:$J,0))</f>
        <v>#N/A</v>
      </c>
      <c r="W59" s="276"/>
      <c r="X59" s="276">
        <f t="shared" ca="1" si="7"/>
        <v>0</v>
      </c>
      <c r="Y59" s="276"/>
      <c r="Z59" s="276"/>
      <c r="AB59" s="278" t="str">
        <f t="shared" si="8"/>
        <v/>
      </c>
    </row>
    <row r="60" spans="1:28" s="277" customFormat="1" ht="20.25">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6"/>
        <v/>
      </c>
      <c r="T60" s="225" t="str">
        <f ca="1">IF(B60="","",IF(ISERROR(MATCH($J60,SorP!$B$1:$B$6230,0)),"",INDIRECT("'SorP'!$A$"&amp;MATCH($J60,SorP!$B$1:$B$6230,0))))</f>
        <v/>
      </c>
      <c r="U60" s="241"/>
      <c r="V60" s="275" t="e">
        <f>IF(C60="",NA(),MATCH($B60&amp;$C60,'Smelter Look-up'!$J:$J,0))</f>
        <v>#N/A</v>
      </c>
      <c r="W60" s="276"/>
      <c r="X60" s="276">
        <f t="shared" ca="1" si="7"/>
        <v>0</v>
      </c>
      <c r="Y60" s="276"/>
      <c r="Z60" s="276"/>
      <c r="AB60" s="278" t="str">
        <f t="shared" si="8"/>
        <v/>
      </c>
    </row>
    <row r="61" spans="1:28" s="277" customFormat="1" ht="20.25">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6"/>
        <v/>
      </c>
      <c r="T61" s="225" t="str">
        <f ca="1">IF(B61="","",IF(ISERROR(MATCH($J61,SorP!$B$1:$B$6230,0)),"",INDIRECT("'SorP'!$A$"&amp;MATCH($J61,SorP!$B$1:$B$6230,0))))</f>
        <v/>
      </c>
      <c r="U61" s="241"/>
      <c r="V61" s="275" t="e">
        <f>IF(C61="",NA(),MATCH($B61&amp;$C61,'Smelter Look-up'!$J:$J,0))</f>
        <v>#N/A</v>
      </c>
      <c r="W61" s="276"/>
      <c r="X61" s="276">
        <f t="shared" ca="1" si="7"/>
        <v>0</v>
      </c>
      <c r="Y61" s="276"/>
      <c r="Z61" s="276"/>
      <c r="AB61" s="278" t="str">
        <f t="shared" si="8"/>
        <v/>
      </c>
    </row>
    <row r="62" spans="1:28" s="277" customFormat="1" ht="20.25">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
      </c>
      <c r="T62" s="225" t="str">
        <f ca="1">IF(B62="","",IF(ISERROR(MATCH($J62,SorP!$B$1:$B$6230,0)),"",INDIRECT("'SorP'!$A$"&amp;MATCH($J62,SorP!$B$1:$B$6230,0))))</f>
        <v/>
      </c>
      <c r="U62" s="241"/>
      <c r="V62" s="275" t="e">
        <f>IF(C62="",NA(),MATCH($B62&amp;$C62,'Smelter Look-up'!$J:$J,0))</f>
        <v>#N/A</v>
      </c>
      <c r="W62" s="276"/>
      <c r="X62" s="276">
        <f t="shared" ca="1" si="7"/>
        <v>0</v>
      </c>
      <c r="Y62" s="276"/>
      <c r="Z62" s="276"/>
      <c r="AB62" s="278" t="str">
        <f t="shared" si="8"/>
        <v/>
      </c>
    </row>
    <row r="63" spans="1:28" s="277" customFormat="1" ht="20.25">
      <c r="A63" s="216" t="s">
        <v>824</v>
      </c>
      <c r="B63" s="217" t="s">
        <v>1154</v>
      </c>
      <c r="C63" s="221" t="s">
        <v>15516</v>
      </c>
      <c r="D63" s="283"/>
      <c r="E63" s="217" t="s">
        <v>1128</v>
      </c>
      <c r="F63" s="217" t="s">
        <v>824</v>
      </c>
      <c r="G63" s="217" t="s">
        <v>13577</v>
      </c>
      <c r="H63" s="218">
        <v>0</v>
      </c>
      <c r="I63" s="219" t="s">
        <v>1832</v>
      </c>
      <c r="J63" s="219" t="s">
        <v>6250</v>
      </c>
      <c r="K63" s="273" t="s">
        <v>15517</v>
      </c>
      <c r="L63" s="273" t="s">
        <v>15518</v>
      </c>
      <c r="M63" s="273" t="s">
        <v>15519</v>
      </c>
      <c r="N63" s="273" t="s">
        <v>15520</v>
      </c>
      <c r="O63" s="273" t="s">
        <v>1128</v>
      </c>
      <c r="P63" s="220" t="s">
        <v>499</v>
      </c>
      <c r="Q63" s="274" t="s">
        <v>12942</v>
      </c>
      <c r="R63" s="217" t="str">
        <f ca="1">IF(ISERROR($V63),"",OFFSET('Smelter Look-up'!$C$4,$V63-4,0)&amp;"")</f>
        <v/>
      </c>
      <c r="S63" s="225" t="str">
        <f t="shared" ca="1" si="6"/>
        <v>ID</v>
      </c>
      <c r="T63" s="225" t="str">
        <f ca="1">IF(B63="","",IF(ISERROR(MATCH($J63,SorP!$B$1:$B$6230,0)),"",INDIRECT("'SorP'!$A$"&amp;MATCH($J63,SorP!$B$1:$B$6230,0))))</f>
        <v>ID-RI</v>
      </c>
      <c r="U63" s="241"/>
      <c r="V63" s="275" t="e">
        <f>IF(C63="",NA(),MATCH($B63&amp;$C63,'Smelter Look-up'!$J:$J,0))</f>
        <v>#N/A</v>
      </c>
      <c r="W63" s="276"/>
      <c r="X63" s="276">
        <f t="shared" si="7"/>
        <v>0</v>
      </c>
      <c r="Y63" s="276"/>
      <c r="Z63" s="276"/>
      <c r="AB63" s="278" t="str">
        <f t="shared" si="8"/>
        <v>TinPT Timah (Persero) Tbk Kundur</v>
      </c>
    </row>
    <row r="64" spans="1:28" s="277" customFormat="1" ht="25.5">
      <c r="A64" s="216" t="s">
        <v>695</v>
      </c>
      <c r="B64" s="217" t="s">
        <v>1153</v>
      </c>
      <c r="C64" s="221" t="s">
        <v>2647</v>
      </c>
      <c r="D64" s="283"/>
      <c r="E64" s="217" t="s">
        <v>1123</v>
      </c>
      <c r="F64" s="217" t="s">
        <v>695</v>
      </c>
      <c r="G64" s="217" t="s">
        <v>13577</v>
      </c>
      <c r="H64" s="218">
        <v>0</v>
      </c>
      <c r="I64" s="219" t="s">
        <v>1618</v>
      </c>
      <c r="J64" s="219" t="s">
        <v>15521</v>
      </c>
      <c r="K64" s="273" t="s">
        <v>15522</v>
      </c>
      <c r="L64" s="273" t="s">
        <v>15523</v>
      </c>
      <c r="M64" s="273" t="s">
        <v>15519</v>
      </c>
      <c r="N64" s="273" t="s">
        <v>56</v>
      </c>
      <c r="O64" s="273" t="s">
        <v>1123</v>
      </c>
      <c r="P64" s="220" t="s">
        <v>499</v>
      </c>
      <c r="Q64" s="274" t="s">
        <v>12942</v>
      </c>
      <c r="R64" s="217" t="str">
        <f ca="1">IF(ISERROR($V64),"",OFFSET('Smelter Look-up'!$C$4,$V64-4,0)&amp;"")</f>
        <v>Heraeus Metals Hong Kong Ltd.</v>
      </c>
      <c r="S64" s="225" t="str">
        <f t="shared" ca="1" si="6"/>
        <v>CN</v>
      </c>
      <c r="T64" s="225" t="str">
        <f ca="1">IF(B64="","",IF(ISERROR(MATCH($J64,SorP!$B$1:$B$6230,0)),"",INDIRECT("'SorP'!$A$"&amp;MATCH($J64,SorP!$B$1:$B$6230,0))))</f>
        <v/>
      </c>
      <c r="U64" s="241"/>
      <c r="V64" s="275">
        <f>IF(C64="",NA(),MATCH($B64&amp;$C64,'Smelter Look-up'!$J:$J,0))</f>
        <v>97</v>
      </c>
      <c r="W64" s="276"/>
      <c r="X64" s="276">
        <f t="shared" si="7"/>
        <v>0</v>
      </c>
      <c r="Y64" s="276"/>
      <c r="Z64" s="276"/>
      <c r="AB64" s="278" t="str">
        <f t="shared" si="8"/>
        <v>GoldHeraeus Metals Hong Kong Ltd.</v>
      </c>
    </row>
    <row r="65" spans="1:28" s="277" customFormat="1" ht="20.25">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6"/>
        <v/>
      </c>
      <c r="T65" s="225" t="str">
        <f ca="1">IF(B65="","",IF(ISERROR(MATCH($J65,SorP!$B$1:$B$6230,0)),"",INDIRECT("'SorP'!$A$"&amp;MATCH($J65,SorP!$B$1:$B$6230,0))))</f>
        <v/>
      </c>
      <c r="U65" s="241"/>
      <c r="V65" s="275" t="e">
        <f>IF(C65="",NA(),MATCH($B65&amp;$C65,'Smelter Look-up'!$J:$J,0))</f>
        <v>#N/A</v>
      </c>
      <c r="W65" s="276"/>
      <c r="X65" s="276">
        <f t="shared" ca="1" si="7"/>
        <v>0</v>
      </c>
      <c r="Y65" s="276"/>
      <c r="Z65" s="276"/>
      <c r="AB65" s="278" t="str">
        <f t="shared" si="8"/>
        <v/>
      </c>
    </row>
    <row r="66" spans="1:28" s="277" customFormat="1" ht="20.25">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6"/>
        <v/>
      </c>
      <c r="T66" s="225" t="str">
        <f ca="1">IF(B66="","",IF(ISERROR(MATCH($J66,SorP!$B$1:$B$6230,0)),"",INDIRECT("'SorP'!$A$"&amp;MATCH($J66,SorP!$B$1:$B$6230,0))))</f>
        <v/>
      </c>
      <c r="U66" s="241"/>
      <c r="V66" s="275" t="e">
        <f>IF(C66="",NA(),MATCH($B66&amp;$C66,'Smelter Look-up'!$J:$J,0))</f>
        <v>#N/A</v>
      </c>
      <c r="W66" s="276"/>
      <c r="X66" s="276">
        <f t="shared" ca="1" si="7"/>
        <v>0</v>
      </c>
      <c r="Y66" s="276"/>
      <c r="Z66" s="276"/>
      <c r="AB66" s="278" t="str">
        <f t="shared" si="8"/>
        <v/>
      </c>
    </row>
    <row r="67" spans="1:28" s="277" customFormat="1" ht="20.25">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6"/>
        <v/>
      </c>
      <c r="T67" s="225" t="str">
        <f ca="1">IF(B67="","",IF(ISERROR(MATCH($J67,SorP!$B$1:$B$6230,0)),"",INDIRECT("'SorP'!$A$"&amp;MATCH($J67,SorP!$B$1:$B$6230,0))))</f>
        <v/>
      </c>
      <c r="U67" s="241"/>
      <c r="V67" s="275" t="e">
        <f>IF(C67="",NA(),MATCH($B67&amp;$C67,'Smelter Look-up'!$J:$J,0))</f>
        <v>#N/A</v>
      </c>
      <c r="W67" s="276"/>
      <c r="X67" s="276">
        <f t="shared" ca="1" si="7"/>
        <v>0</v>
      </c>
      <c r="Y67" s="276"/>
      <c r="Z67" s="276"/>
      <c r="AB67" s="278" t="str">
        <f t="shared" si="8"/>
        <v/>
      </c>
    </row>
    <row r="68" spans="1:28" s="277" customFormat="1" ht="20.25">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20.25">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20.25">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20.25">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20.25">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20.25">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20.25">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20.25">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20.25">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20.25">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20.25">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20.25">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20.25">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20.25">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20.25">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20.25">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20.25">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20.25">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20.25">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20.25">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20.25">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20.25">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0.25">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0.25">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0.2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2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2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2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2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2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2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2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2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2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2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2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2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customSheetView>
  </customSheetViews>
  <mergeCells count="3">
    <mergeCell ref="J2:O2"/>
    <mergeCell ref="B3:E3"/>
    <mergeCell ref="G3:I3"/>
  </mergeCells>
  <phoneticPr fontId="97" type="noConversion"/>
  <conditionalFormatting sqref="B586:B2504">
    <cfRule type="expression" dxfId="63" priority="38" stopIfTrue="1">
      <formula>IF(B586="",TRUE)</formula>
    </cfRule>
    <cfRule type="expression" dxfId="62" priority="49" stopIfTrue="1">
      <formula>IF(AND(COUNTIF(MetalSmelter,B586&amp;C586)=0,LEN(C586)&gt;0),TRUE,FALSE)</formula>
    </cfRule>
  </conditionalFormatting>
  <conditionalFormatting sqref="D586:D2504">
    <cfRule type="expression" dxfId="61" priority="32" stopIfTrue="1">
      <formula>IF(AND(LEN($C586)&gt;0,($C586&lt;&gt;"Smelter Not Listed")),1,0)</formula>
    </cfRule>
    <cfRule type="expression" dxfId="60" priority="57" stopIfTrue="1">
      <formula>IF(AND(D586="",$C586=$X$4),TRUE)</formula>
    </cfRule>
    <cfRule type="expression" dxfId="59" priority="58" stopIfTrue="1">
      <formula>IF(FIND("!",D586),TRUE)</formula>
    </cfRule>
  </conditionalFormatting>
  <conditionalFormatting sqref="G586:G2504">
    <cfRule type="expression" dxfId="58" priority="59" stopIfTrue="1">
      <formula>IF(FIND("Enter smelter details",G586),TRUE)</formula>
    </cfRule>
  </conditionalFormatting>
  <conditionalFormatting sqref="R586:R2505 E586:E2504">
    <cfRule type="expression" dxfId="57" priority="45" stopIfTrue="1">
      <formula>IF(AND(E586="",$C586=$X$4),TRUE)</formula>
    </cfRule>
    <cfRule type="expression" dxfId="56" priority="46" stopIfTrue="1">
      <formula>IF(FIND("!",E586),TRUE)</formula>
    </cfRule>
  </conditionalFormatting>
  <conditionalFormatting sqref="F586:F2504">
    <cfRule type="expression" dxfId="55" priority="36" stopIfTrue="1">
      <formula>IF(AND(LEN($A586)&gt;0,$A586&lt;&gt;$F586),TRUE,FALSE)</formula>
    </cfRule>
  </conditionalFormatting>
  <conditionalFormatting sqref="C586:C2504">
    <cfRule type="expression" dxfId="54" priority="35" stopIfTrue="1">
      <formula>IF(AND(B586&lt;&gt;"",C586=""),TRUE)</formula>
    </cfRule>
  </conditionalFormatting>
  <conditionalFormatting sqref="B21:B585 B5:B19">
    <cfRule type="expression" dxfId="53" priority="14" stopIfTrue="1">
      <formula>IF(B5="",TRUE)</formula>
    </cfRule>
    <cfRule type="expression" dxfId="52" priority="17" stopIfTrue="1">
      <formula>IF(AND(COUNTIF(MetalSmelter,B5&amp;C5)=0,LEN(C5)&gt;0),TRUE,FALSE)</formula>
    </cfRule>
  </conditionalFormatting>
  <conditionalFormatting sqref="D5:D19 D21:D585">
    <cfRule type="expression" dxfId="51" priority="11" stopIfTrue="1">
      <formula>IF(AND(LEN($C5)&gt;0,($C5&lt;&gt;"Smelter Not Listed")),1,0)</formula>
    </cfRule>
    <cfRule type="expression" dxfId="50" priority="18" stopIfTrue="1">
      <formula>IF(AND(D5="",$C5=$X$4),TRUE)</formula>
    </cfRule>
    <cfRule type="expression" dxfId="49" priority="19" stopIfTrue="1">
      <formula>IF(FIND("!",D5),TRUE)</formula>
    </cfRule>
  </conditionalFormatting>
  <conditionalFormatting sqref="G5:G19 G21:G585">
    <cfRule type="expression" dxfId="48" priority="20" stopIfTrue="1">
      <formula>IF(FIND("Enter smelter details",G5),TRUE)</formula>
    </cfRule>
  </conditionalFormatting>
  <conditionalFormatting sqref="R5:R585 E5:E19 E21:E585">
    <cfRule type="expression" dxfId="47" priority="15" stopIfTrue="1">
      <formula>IF(AND(E5="",$C5=$X$4),TRUE)</formula>
    </cfRule>
    <cfRule type="expression" dxfId="46" priority="16" stopIfTrue="1">
      <formula>IF(FIND("!",E5),TRUE)</formula>
    </cfRule>
  </conditionalFormatting>
  <conditionalFormatting sqref="F5:F19 F21:F585">
    <cfRule type="expression" dxfId="45" priority="13" stopIfTrue="1">
      <formula>IF(AND(LEN($A5)&gt;0,$A5&lt;&gt;$F5),TRUE,FALSE)</formula>
    </cfRule>
  </conditionalFormatting>
  <conditionalFormatting sqref="C21:C585 C5:C19">
    <cfRule type="expression" dxfId="44" priority="12" stopIfTrue="1">
      <formula>IF(AND(B5&lt;&gt;"",C5=""),TRUE)</formula>
    </cfRule>
  </conditionalFormatting>
  <conditionalFormatting sqref="B20">
    <cfRule type="expression" dxfId="43" priority="4" stopIfTrue="1">
      <formula>IF(B20="",TRUE)</formula>
    </cfRule>
    <cfRule type="expression" dxfId="42" priority="7" stopIfTrue="1">
      <formula>IF(AND(COUNTIF(MetalSmelter,B20&amp;C20)=0,LEN(C20)&gt;0),TRUE,FALSE)</formula>
    </cfRule>
  </conditionalFormatting>
  <conditionalFormatting sqref="D20">
    <cfRule type="expression" dxfId="41" priority="1" stopIfTrue="1">
      <formula>IF(AND(LEN($C20)&gt;0,($C20&lt;&gt;"Smelter Not Listed")),1,0)</formula>
    </cfRule>
    <cfRule type="expression" dxfId="40" priority="8" stopIfTrue="1">
      <formula>IF(AND(D20="",$C20=$X$4),TRUE)</formula>
    </cfRule>
    <cfRule type="expression" dxfId="39" priority="9" stopIfTrue="1">
      <formula>IF(FIND("!",D20),TRUE)</formula>
    </cfRule>
  </conditionalFormatting>
  <conditionalFormatting sqref="G20">
    <cfRule type="expression" dxfId="38" priority="10" stopIfTrue="1">
      <formula>IF(FIND("Enter smelter details",G20),TRUE)</formula>
    </cfRule>
  </conditionalFormatting>
  <conditionalFormatting sqref="E20">
    <cfRule type="expression" dxfId="37" priority="5" stopIfTrue="1">
      <formula>IF(AND(E20="",$C20=$X$4),TRUE)</formula>
    </cfRule>
    <cfRule type="expression" dxfId="36" priority="6" stopIfTrue="1">
      <formula>IF(FIND("!",E20),TRUE)</formula>
    </cfRule>
  </conditionalFormatting>
  <conditionalFormatting sqref="F20">
    <cfRule type="expression" dxfId="35" priority="3" stopIfTrue="1">
      <formula>IF(AND(LEN($A20)&gt;0,$A20&lt;&gt;$F20),TRUE,FALSE)</formula>
    </cfRule>
  </conditionalFormatting>
  <conditionalFormatting sqref="C20">
    <cfRule type="expression" dxfId="34" priority="2" stopIfTrue="1">
      <formula>IF(AND(B20&lt;&gt;"",C20=""),TRUE)</formula>
    </cfRule>
  </conditionalFormatting>
  <dataValidations count="5">
    <dataValidation type="list" allowBlank="1" showInputMessage="1" showErrorMessage="1" sqref="B5:B2504">
      <formula1>Metal</formula1>
    </dataValidation>
    <dataValidation allowBlank="1" showErrorMessage="1" sqref="F5:G2504"/>
    <dataValidation type="list" showInputMessage="1" showErrorMessage="1" sqref="C5:C2504">
      <formula1>SN</formula1>
    </dataValidation>
    <dataValidation type="list" allowBlank="1" showInputMessage="1" showErrorMessage="1" sqref="E5:E2504">
      <formula1>CL</formula1>
    </dataValidation>
    <dataValidation type="list" allowBlank="1" showInputMessage="1" showErrorMessage="1" sqref="P5:P2504">
      <formula1>$AH$2:$AH$4</formula1>
    </dataValidation>
  </dataValidations>
  <hyperlinks>
    <hyperlink ref="J2:O2" r:id="rId2" display="http://www.responsiblemineralsinitiative.org/conformant-smelter-refiner-lists/"/>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 xml:space="preserve">Cirocomm Technology Corp.     </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t="str">
        <f>Declaration!D10</f>
        <v>DESIGN AND MANUFACTURE OF GPS ANTENNA、FILTER AND MODULE</v>
      </c>
      <c r="C6" s="102" t="str">
        <f ca="1">IF(H6=1,J6,I6)</f>
        <v>Complete</v>
      </c>
      <c r="D6" s="108" t="str">
        <f>IF(H6=1,"Click here to provide a Description of Scope","")</f>
        <v/>
      </c>
      <c r="E6" s="84" t="s">
        <v>1330</v>
      </c>
      <c r="F6" s="107">
        <f>IF(OR(B5=Declaration!P9,B5=Declaration!Q9,B5=0),0,1)</f>
        <v>0</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poshiung.Hsu</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poshiung.Hsu@cirocomm.com.tw</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886-6-6992961#514</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 xml:space="preserve">kevin kuo </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kevinkuo@cirocomm.com.tw</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44013</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No</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1</v>
      </c>
      <c r="G66" s="81">
        <f>IF(AND(COUNTIF(SmelterIdetifiedForMetal,"Tin")&gt;0,COUNTIF('Smelter List'!AB$5:AB$2504,"Tin?*")&gt;0),0,1)</f>
        <v>0</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List'!AB$5:AB$2504,"Gold?*")&gt;0),0,1)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List'!AB$5:AB$2504,"Tungsten?*")&gt;0),0,1)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97" type="noConversion"/>
  <conditionalFormatting sqref="D56">
    <cfRule type="expression" dxfId="33" priority="358" stopIfTrue="1">
      <formula>$H$56=0</formula>
    </cfRule>
  </conditionalFormatting>
  <conditionalFormatting sqref="B66">
    <cfRule type="expression" dxfId="32" priority="39" stopIfTrue="1">
      <formula>IF(F66=0,TRUE)</formula>
    </cfRule>
  </conditionalFormatting>
  <conditionalFormatting sqref="B67">
    <cfRule type="expression" dxfId="31" priority="35" stopIfTrue="1">
      <formula>IF(F67=0,TRUE)</formula>
    </cfRule>
  </conditionalFormatting>
  <conditionalFormatting sqref="B68:B69">
    <cfRule type="expression" dxfId="30" priority="31" stopIfTrue="1">
      <formula>IF(F68=0,TRUE)</formula>
    </cfRule>
  </conditionalFormatting>
  <conditionalFormatting sqref="C69">
    <cfRule type="expression" dxfId="29" priority="13" stopIfTrue="1">
      <formula>C69="Not Required"</formula>
    </cfRule>
    <cfRule type="expression" dxfId="28" priority="21" stopIfTrue="1">
      <formula>OR(C69="Complete",C69="填写",C69="記入",C69="완료",C69="Complétez",C69="Concluído",C69="Vollständig",C69="Completare",C69="Doldurun")</formula>
    </cfRule>
  </conditionalFormatting>
  <conditionalFormatting sqref="A69">
    <cfRule type="expression" dxfId="27" priority="14" stopIfTrue="1">
      <formula>C69="Not Required"</formula>
    </cfRule>
    <cfRule type="expression" dxfId="2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25" priority="347" stopIfTrue="1">
      <formula>$F4=0</formula>
    </cfRule>
    <cfRule type="expression" dxfId="24" priority="348" stopIfTrue="1">
      <formula>$H4=0</formula>
    </cfRule>
    <cfRule type="expression" dxfId="23" priority="349" stopIfTrue="1">
      <formula>$H4=1</formula>
    </cfRule>
  </conditionalFormatting>
  <conditionalFormatting sqref="C69 A69">
    <cfRule type="expression" dxfId="22" priority="11" stopIfTrue="1">
      <formula>IF(AND($F$69=1,$G$69=1),TRUE,FALSE)</formula>
    </cfRule>
  </conditionalFormatting>
  <conditionalFormatting sqref="A29:A32">
    <cfRule type="expression" dxfId="21" priority="2" stopIfTrue="1">
      <formula>$F29=0</formula>
    </cfRule>
    <cfRule type="expression" dxfId="20" priority="3" stopIfTrue="1">
      <formula>$H29=0</formula>
    </cfRule>
    <cfRule type="expression" dxfId="19" priority="4" stopIfTrue="1">
      <formula>$H29=1</formula>
    </cfRule>
  </conditionalFormatting>
  <conditionalFormatting sqref="B65">
    <cfRule type="expression" dxfId="18" priority="1" stopIfTrue="1">
      <formula>IF(F65=0,TRUE)</formula>
    </cfRule>
  </conditionalFormatting>
  <conditionalFormatting sqref="A5:A13">
    <cfRule type="expression" dxfId="17" priority="49" stopIfTrue="1">
      <formula>$F5=0</formula>
    </cfRule>
    <cfRule type="expression" dxfId="16" priority="50" stopIfTrue="1">
      <formula>AND($F5=1,$G5=0)</formula>
    </cfRule>
    <cfRule type="expression" dxfId="15" priority="51" stopIfTrue="1">
      <formula>AND($F5&lt;&gt;0,$G5&lt;&gt;0)</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2" location="Declaration!B22" display="Declaration!B22"/>
    <hyperlink ref="D14" location="Declaration!B26" display="Declaration!B26"/>
    <hyperlink ref="D15" location="Declaration!B27" display="Declaration!B27"/>
    <hyperlink ref="D16" location="Declaration!B28" display="Declaration!B28"/>
    <hyperlink ref="D17" location="Declaration!B29" display="Declaration!B29"/>
    <hyperlink ref="D19" location="Declaration!B32" display="Declaration!B32"/>
    <hyperlink ref="D20" location="Declaration!B33" display="Declaration!B33"/>
    <hyperlink ref="D21" location="Declaration!B34" display="Declaration!B34"/>
    <hyperlink ref="D22" location="Declaration!B35" display="Declaration!B35"/>
    <hyperlink ref="D24" location="Declaration!B38" display="Declaration!B38"/>
    <hyperlink ref="D25" location="Declaration!B39" display="Declaration!B39"/>
    <hyperlink ref="D26" location="Declaration!B40" display="Declaration!B40"/>
    <hyperlink ref="D27" location="Declaration!B41" display="Declaration!B41"/>
    <hyperlink ref="D39" location="Declaration!B56" display="Declaration!B56"/>
    <hyperlink ref="D40" location="Declaration!B57" display="Declaration!B57"/>
    <hyperlink ref="D41" location="Declaration!B58" display="Declaration!B58"/>
    <hyperlink ref="D42" location="Declaration!B59" display="Declaration!B59"/>
    <hyperlink ref="D44" location="Declaration!B62" display="Declaration!B62"/>
    <hyperlink ref="D45" location="Declaration!B63" display="Declaration!B63"/>
    <hyperlink ref="D46" location="Declaration!B64" display="Declaration!B64"/>
    <hyperlink ref="D47" location="Declaration!B65" display="Declaration!B65"/>
    <hyperlink ref="D49" location="Declaration!B68" display="Declaration!B68"/>
    <hyperlink ref="D50" location="Declaration!B69" display="Declaration!B69"/>
    <hyperlink ref="D51" location="Declaration!B70" display="Declaration!B70"/>
    <hyperlink ref="D52" location="Declaration!B71" display="Declaration!B71"/>
    <hyperlink ref="D54" location="Declaration!B75" display="Declaration!B75"/>
    <hyperlink ref="D55" location="Declaration!B77" display="Declaration!B77"/>
    <hyperlink ref="D57" location="Declaration!B79" display="Declaration!B79"/>
    <hyperlink ref="D58" location="Declaration!B81" display="Declaration!B81"/>
    <hyperlink ref="D59" location="Declaration!B83" display="Declaration!B83"/>
    <hyperlink ref="D60" location="Declaration!B85" display="Declaration!B85"/>
    <hyperlink ref="D63" location="Declaration!B89" display="Declaration!B89"/>
    <hyperlink ref="D6" location="Declaration!B10" display="Declaration!B10"/>
    <hyperlink ref="B2" location="'Smelter List'!A1" display="'Smelter List'!A1"/>
    <hyperlink ref="D64" location="'Product List'!A1" display="'Product List'!A1"/>
    <hyperlink ref="D34" location="Declaration!B50" display="Declaration!B50"/>
    <hyperlink ref="D35" location="Declaration!B51" display="Declaration!B51"/>
    <hyperlink ref="D36" location="Declaration!B52" display="Declaration!B52"/>
    <hyperlink ref="D37" location="Declaration!B53" display="Declaration!B53"/>
    <hyperlink ref="D7:D9" location="Declaration!B8" display="Declaration!B8"/>
    <hyperlink ref="D7" location="Declaration!B15" display="Declaration!B15"/>
    <hyperlink ref="D8" location="Declaration!B16" display="Declaration!B16"/>
    <hyperlink ref="D9" location="Declaration!B17" display="Declaration!B17"/>
    <hyperlink ref="D56" location="Declaration!G77" display="Declaration!G77"/>
    <hyperlink ref="D65" location="'Smelter List'!A1" display="'Smelter List'!A1"/>
    <hyperlink ref="D66" location="'Smelter List'!A1" display="'Smelter List'!A1"/>
    <hyperlink ref="D67" location="'Smelter List'!A1" display="'Smelter List'!A1"/>
    <hyperlink ref="D62" location="Declaration!B87" display="Declaration!B87"/>
    <hyperlink ref="D68" location="'Smelter List'!A1" display="'Smelter List'!A1"/>
    <hyperlink ref="D29" location="Declaration!B44" display="Declaration!B44"/>
    <hyperlink ref="D30" location="Declaration!B45" display="Declaration!B45"/>
    <hyperlink ref="D31" location="Declaration!B46" display="Declaration!B46"/>
    <hyperlink ref="D32" location="Declaration!B47" display="Declaration!B47"/>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6" t="str">
        <f ca="1">OFFSET(L!$C$1,MATCH("Product List"&amp;ADDRESS(ROW(),COLUMN(),4),L!$A:$A,0)-1,SL,,)</f>
        <v>Completion required only if reporting level "Product (or List of Products)" selected on the 'Declaration' worksheet.</v>
      </c>
      <c r="B1" s="447"/>
      <c r="C1" s="447"/>
      <c r="D1" s="447"/>
      <c r="E1" s="145"/>
    </row>
    <row r="2" spans="1:6">
      <c r="A2" s="29"/>
      <c r="B2" s="147"/>
      <c r="C2" s="147"/>
      <c r="D2"/>
      <c r="E2" s="30"/>
    </row>
    <row r="3" spans="1:6">
      <c r="A3" s="29"/>
      <c r="B3" s="147"/>
      <c r="C3" s="147"/>
      <c r="D3" s="147"/>
      <c r="E3" s="30"/>
    </row>
    <row r="4" spans="1:6" ht="15.75" customHeight="1">
      <c r="A4" s="29"/>
      <c r="B4" s="445" t="s">
        <v>921</v>
      </c>
      <c r="C4" s="445"/>
      <c r="D4" s="445"/>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8" t="str">
        <f ca="1">OFFSET(L!$C$1,MATCH("General"&amp;"Cpy",L!$A:$A,0)-1,SL,,)</f>
        <v>© 2020 Responsible Minerals Initiative. All rights reserved.</v>
      </c>
      <c r="C1001" s="448"/>
      <c r="D1001" s="448"/>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phoneticPr fontId="97" type="noConversion"/>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97" type="noConversion"/>
  <conditionalFormatting sqref="J295:J352 J355:J483 J5:J292 J486:J591">
    <cfRule type="cellIs" dxfId="14" priority="21" stopIfTrue="1" operator="equal">
      <formula>"Yes"</formula>
    </cfRule>
  </conditionalFormatting>
  <conditionalFormatting sqref="K5">
    <cfRule type="cellIs" dxfId="13" priority="5" stopIfTrue="1" operator="equal">
      <formula>"Yes"</formula>
    </cfRule>
  </conditionalFormatting>
  <conditionalFormatting sqref="J293:J294">
    <cfRule type="cellIs" dxfId="12" priority="3" stopIfTrue="1" operator="equal">
      <formula>"Yes"</formula>
    </cfRule>
  </conditionalFormatting>
  <conditionalFormatting sqref="J353:J354">
    <cfRule type="cellIs" dxfId="11" priority="2" stopIfTrue="1" operator="equal">
      <formula>"Yes"</formula>
    </cfRule>
  </conditionalFormatting>
  <conditionalFormatting sqref="J484:J485">
    <cfRule type="cellIs" dxfId="1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84.75">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45">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30">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28.5">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14.75">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16.75">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26">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399">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210">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105">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94.5">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50">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70.5">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213.75">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26">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42.75">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28.5">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42">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71">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56.75">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327.75">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78.5">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42.5">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71">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42.5">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14">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28.25">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42">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56.75">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285">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70.75">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199.5">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47.25">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31.5">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30">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28.5">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28.5">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31.5">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28.5">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28.5">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42.75">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28.5">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57">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42.75">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42.75">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42.75">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8.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71.25">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97" type="noConversion"/>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DEE780-EC47-41FC-861F-1BDFE6C5F8C3}">
  <ds:schemaRefs>
    <ds:schemaRef ds:uri="http://purl.org/dc/terms/"/>
    <ds:schemaRef ds:uri="060324a1-f66f-4c36-a8ec-beadbf2f4219"/>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11</vt:i4>
      </vt:variant>
      <vt:variant>
        <vt:lpstr>已命名的範圍</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許博雄</cp:lastModifiedBy>
  <cp:lastPrinted>2015-04-21T20:47:43Z</cp:lastPrinted>
  <dcterms:created xsi:type="dcterms:W3CDTF">2010-06-21T21:00:23Z</dcterms:created>
  <dcterms:modified xsi:type="dcterms:W3CDTF">2020-07-01T03:34:34Z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