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07049\Desktop\亞驪CMRT\"/>
    </mc:Choice>
  </mc:AlternateContent>
  <workbookProtection workbookAlgorithmName="SHA-512" workbookHashValue="FDm0YVlRHuvuR7ASQJ7z4n/c8bI9AuIKyHf8ujFWtWUkp7+Xm6/f03FyvVRZ4GAgW7GEWKWltQSnVHknWKh2BA==" workbookSaltValue="EX+GsGCD48ANiKbfOQgmtw=="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5" l="1"/>
  <c r="C5" i="5" l="1"/>
  <c r="C6" i="5"/>
  <c r="C7" i="5"/>
  <c r="B5" i="5"/>
  <c r="B6" i="5"/>
  <c r="B7" i="5"/>
  <c r="B8" i="5"/>
  <c r="B9" i="5"/>
  <c r="B10" i="5"/>
  <c r="B11" i="5"/>
  <c r="B12" i="5"/>
  <c r="B13" i="5"/>
  <c r="B14" i="5"/>
  <c r="B15" i="5"/>
  <c r="B16" i="5"/>
  <c r="B17" i="5"/>
  <c r="B18" i="5"/>
  <c r="C20" i="5" l="1"/>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V64" i="5"/>
  <c r="R64" i="5" s="1"/>
  <c r="T64" i="5"/>
  <c r="V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V37" i="5"/>
  <c r="R37" i="5" s="1"/>
  <c r="C37" i="5"/>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C27" i="5"/>
  <c r="V27" i="5" s="1"/>
  <c r="B27" i="5"/>
  <c r="C26" i="5"/>
  <c r="V26" i="5" s="1"/>
  <c r="I26" i="5" s="1"/>
  <c r="B26" i="5"/>
  <c r="T26" i="5" s="1"/>
  <c r="C25" i="5"/>
  <c r="V25" i="5" s="1"/>
  <c r="B25" i="5"/>
  <c r="C24" i="5"/>
  <c r="V24" i="5" s="1"/>
  <c r="R24" i="5" s="1"/>
  <c r="B24" i="5"/>
  <c r="C23" i="5"/>
  <c r="V23" i="5" s="1"/>
  <c r="H23" i="5" s="1"/>
  <c r="B23" i="5"/>
  <c r="S22" i="5"/>
  <c r="C22" i="5"/>
  <c r="V22" i="5" s="1"/>
  <c r="I22" i="5" s="1"/>
  <c r="B22" i="5"/>
  <c r="C21" i="5"/>
  <c r="V21" i="5" s="1"/>
  <c r="B21" i="5"/>
  <c r="V20" i="5"/>
  <c r="R20" i="5" s="1"/>
  <c r="B20" i="5"/>
  <c r="T20" i="5" s="1"/>
  <c r="C19" i="5"/>
  <c r="V19" i="5" s="1"/>
  <c r="B19" i="5"/>
  <c r="T19" i="5" s="1"/>
  <c r="AB18" i="5"/>
  <c r="V18" i="5"/>
  <c r="I18" i="5" s="1"/>
  <c r="V6" i="5"/>
  <c r="R6" i="5" s="1"/>
  <c r="AB6" i="5"/>
  <c r="V5" i="5"/>
  <c r="H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44" i="5" l="1"/>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X63" i="5"/>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S40" i="5"/>
  <c r="G55" i="5"/>
  <c r="G58" i="5"/>
  <c r="J59"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S26" i="5"/>
  <c r="R59"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S20"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23" i="5"/>
  <c r="X23" i="5" s="1"/>
  <c r="G24" i="5"/>
  <c r="J25" i="5"/>
  <c r="AB26" i="5"/>
  <c r="G31" i="5"/>
  <c r="G34" i="5"/>
  <c r="S36" i="5"/>
  <c r="E39" i="5"/>
  <c r="X39" i="5" s="1"/>
  <c r="I46" i="5"/>
  <c r="AB22" i="5"/>
  <c r="F23" i="5"/>
  <c r="I24" i="5"/>
  <c r="R25"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S72" i="5"/>
  <c r="E81" i="5"/>
  <c r="X81" i="5" s="1"/>
  <c r="I82" i="5"/>
  <c r="S88" i="5"/>
  <c r="G22" i="5"/>
  <c r="I23" i="5"/>
  <c r="S30"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S18" i="5" s="1"/>
  <c r="G6" i="5"/>
  <c r="J5" i="5"/>
  <c r="F19" i="6"/>
  <c r="X341" i="5"/>
  <c r="X304" i="5"/>
  <c r="AB23" i="5"/>
  <c r="S23"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H6"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I6" i="5"/>
  <c r="F18" i="5"/>
  <c r="J18" i="5"/>
  <c r="T18" i="5" s="1"/>
  <c r="G20" i="5"/>
  <c r="S21" i="5"/>
  <c r="AB21" i="5"/>
  <c r="T21" i="5"/>
  <c r="S24"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2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E5" i="5"/>
  <c r="X5" i="5" s="1"/>
  <c r="G18" i="5"/>
  <c r="I20" i="5"/>
  <c r="J24" i="5"/>
  <c r="F24" i="5"/>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T24" i="5"/>
  <c r="H28" i="5"/>
  <c r="S109" i="5"/>
  <c r="AB109" i="5"/>
  <c r="E117" i="5"/>
  <c r="X117" i="5" s="1"/>
  <c r="J121" i="5"/>
  <c r="I121" i="5"/>
  <c r="H121" i="5"/>
  <c r="S141" i="5"/>
  <c r="AB141" i="5"/>
  <c r="H146" i="5"/>
  <c r="F150" i="5"/>
  <c r="R150" i="5"/>
  <c r="J150" i="5"/>
  <c r="AB19" i="5"/>
  <c r="S19" i="5"/>
  <c r="E21" i="5"/>
  <c r="X21" i="5" s="1"/>
  <c r="AB27" i="5"/>
  <c r="S27" i="5"/>
  <c r="T27" i="5"/>
  <c r="E29" i="5"/>
  <c r="X29" i="5" s="1"/>
  <c r="F5" i="5"/>
  <c r="H18" i="5"/>
  <c r="F21" i="5"/>
  <c r="T22" i="5"/>
  <c r="E24" i="5"/>
  <c r="X24" i="5" s="1"/>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20" i="5"/>
  <c r="F20" i="5"/>
  <c r="AB31" i="5"/>
  <c r="S31" i="5"/>
  <c r="G5" i="5"/>
  <c r="F22" i="5"/>
  <c r="J22" i="5"/>
  <c r="S25" i="5"/>
  <c r="AB25" i="5"/>
  <c r="T2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6" i="5"/>
  <c r="J6" i="5"/>
  <c r="G2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I5" i="5"/>
  <c r="E6" i="5"/>
  <c r="R18" i="5"/>
  <c r="F19" i="5"/>
  <c r="I21" i="5"/>
  <c r="E22" i="5"/>
  <c r="X22" i="5" s="1"/>
  <c r="R23" i="5"/>
  <c r="H24"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X64" i="5"/>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X424"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T6" i="5"/>
  <c r="T5" i="5"/>
  <c r="T63" i="5"/>
  <c r="S64" i="5"/>
  <c r="S63" i="5"/>
  <c r="B32" i="6" l="1"/>
  <c r="C9" i="6"/>
  <c r="C12" i="6"/>
  <c r="C8" i="6"/>
  <c r="C10" i="6"/>
  <c r="C11" i="6"/>
  <c r="C7"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X18" i="5"/>
  <c r="B52" i="6"/>
  <c r="G52" i="6" s="1"/>
  <c r="B37" i="6"/>
  <c r="G37" i="6" s="1"/>
  <c r="B42" i="6"/>
  <c r="G42" i="6" s="1"/>
  <c r="B40" i="6"/>
  <c r="G40" i="6" s="1"/>
  <c r="B50" i="6"/>
  <c r="G50" i="6" s="1"/>
  <c r="B25" i="6"/>
  <c r="G25" i="6" s="1"/>
  <c r="B35" i="6"/>
  <c r="G35" i="6" s="1"/>
  <c r="C15" i="5"/>
  <c r="C8" i="5"/>
  <c r="C9" i="5"/>
  <c r="C10" i="5"/>
  <c r="C11" i="5"/>
  <c r="C14" i="5"/>
  <c r="C12" i="5"/>
  <c r="C13" i="5"/>
  <c r="C17" i="5"/>
  <c r="C16" i="5"/>
  <c r="X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6" i="5"/>
  <c r="S5" i="5"/>
  <c r="H45" i="6" l="1"/>
  <c r="D45" i="6" s="1"/>
  <c r="H46" i="6"/>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C45" i="6" l="1"/>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10" i="5"/>
  <c r="T12" i="5"/>
  <c r="T9" i="5"/>
  <c r="T17" i="5"/>
  <c r="T16" i="5"/>
  <c r="T14" i="5"/>
  <c r="T8" i="5"/>
  <c r="T15" i="5"/>
  <c r="T13" i="5"/>
  <c r="T11" i="5"/>
  <c r="T7" i="5"/>
  <c r="X13" i="5" l="1"/>
  <c r="X10" i="5"/>
  <c r="D65" i="6"/>
  <c r="X9" i="5"/>
  <c r="X12" i="5"/>
  <c r="X14" i="5"/>
  <c r="X17" i="5"/>
  <c r="S17" i="5"/>
  <c r="D66" i="6"/>
  <c r="C67" i="6"/>
  <c r="X11" i="5"/>
  <c r="X15" i="5"/>
  <c r="X8" i="5"/>
  <c r="X7" i="5"/>
  <c r="G69" i="6"/>
  <c r="H69" i="6" s="1"/>
  <c r="H70" i="6" s="1"/>
  <c r="D2" i="6" s="1"/>
  <c r="X16" i="5"/>
  <c r="S16" i="5"/>
  <c r="D55" i="6"/>
  <c r="C55" i="6"/>
  <c r="D56" i="6"/>
  <c r="C56" i="6"/>
  <c r="S11" i="5"/>
  <c r="S13" i="5"/>
  <c r="S8" i="5"/>
  <c r="S9" i="5"/>
  <c r="S7" i="5"/>
  <c r="S14" i="5"/>
  <c r="S10" i="5"/>
  <c r="S12" i="5"/>
  <c r="S15"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<sst xmlns="http://schemas.openxmlformats.org/spreadsheetml/2006/main" count="21834" uniqueCount="15524">
  <si>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</si>
  <si>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</si>
  <si>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</si>
  <si>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</si>
  <si>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</si>
  <si>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</si>
  <si>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</si>
  <si>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</si>
  <si>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</si>
  <si>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</si>
  <si>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</si>
  <si>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</si>
  <si>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</si>
  <si>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</si>
  <si>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</si>
  <si>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</si>
  <si>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</si>
  <si>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</si>
  <si>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</si>
  <si>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</si>
  <si>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</si>
  <si>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</si>
  <si>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</si>
  <si>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</si>
  <si>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</si>
  <si>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</si>
  <si>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</si>
  <si>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</si>
  <si>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</si>
  <si>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</si>
  <si>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</si>
  <si>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</si>
  <si>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</si>
  <si>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</si>
  <si>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</si>
  <si>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</si>
  <si>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</si>
  <si>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</si>
  <si>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</si>
  <si>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</si>
  <si>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</si>
  <si>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</si>
  <si>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</si>
  <si>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</si>
  <si>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</si>
  <si>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</si>
  <si>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</si>
  <si>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</si>
  <si>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</si>
  <si>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</si>
  <si>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</si>
  <si>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</si>
  <si>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</si>
  <si>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</si>
  <si>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</si>
  <si>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</si>
  <si>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</si>
  <si>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</si>
  <si>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</si>
  <si>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</si>
  <si>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</si>
  <si>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</si>
  <si>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</si>
  <si>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</si>
  <si>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</si>
  <si>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</si>
  <si>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</si>
  <si>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</si>
  <si>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</si>
  <si>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</si>
  <si>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</si>
  <si>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</si>
  <si>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</si>
  <si>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</si>
  <si>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</si>
  <si>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</si>
  <si>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</si>
  <si>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</si>
  <si>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</si>
  <si>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</si>
  <si>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</si>
  <si>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</si>
  <si>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</si>
  <si>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</si>
  <si>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</si>
  <si>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</si>
  <si>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</si>
  <si>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</si>
  <si>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</si>
  <si>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</si>
  <si>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</si>
  <si>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</si>
  <si>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</si>
  <si>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</si>
  <si>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</si>
  <si>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</si>
  <si>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</si>
  <si>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</si>
  <si>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</si>
  <si>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</si>
  <si>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</si>
  <si>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</si>
  <si>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</si>
  <si>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</si>
  <si>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</si>
  <si>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</si>
  <si>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</si>
  <si>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</si>
  <si>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</si>
  <si>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</si>
  <si>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</si>
  <si>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</si>
  <si>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</si>
  <si>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</si>
  <si>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</si>
  <si>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</si>
  <si>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</si>
  <si>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</si>
  <si>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</si>
  <si>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</si>
  <si>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</si>
  <si>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</si>
  <si>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</si>
  <si>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</si>
  <si>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</si>
  <si>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</si>
  <si>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</si>
  <si>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</si>
  <si>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</si>
  <si>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</si>
  <si>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</si>
  <si>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</si>
  <si>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</si>
  <si>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</si>
  <si>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</si>
  <si>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</si>
  <si>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</si>
  <si>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</si>
  <si>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</si>
  <si>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</si>
  <si>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</si>
  <si>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</si>
  <si>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</si>
  <si>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</si>
  <si>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</si>
  <si>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</si>
  <si>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</si>
  <si>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</si>
  <si>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</si>
  <si>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</si>
  <si>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</si>
  <si>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</si>
  <si>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</si>
  <si>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</si>
  <si>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</si>
  <si>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</si>
  <si>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</si>
  <si>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</si>
  <si>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</si>
  <si>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</si>
  <si>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</si>
  <si>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</si>
  <si>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</si>
  <si>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</si>
  <si>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</si>
  <si>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</si>
  <si>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</si>
  <si>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</si>
  <si>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</si>
  <si>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</si>
  <si>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</si>
  <si>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</si>
  <si>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</si>
  <si>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</si>
  <si>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</si>
  <si>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</si>
  <si>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</si>
  <si>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</si>
  <si>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</si>
  <si>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</si>
  <si>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</si>
  <si>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</si>
  <si>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</si>
  <si>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</si>
  <si>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</si>
  <si>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</si>
  <si>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</si>
  <si>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</si>
  <si>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</si>
  <si>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</si>
  <si>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</si>
  <si>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</si>
  <si>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</si>
  <si>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</si>
  <si>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</si>
  <si>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</si>
  <si>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</si>
  <si>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</si>
  <si>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</si>
  <si>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</si>
  <si>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</si>
  <si>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</si>
  <si>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</si>
  <si>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</si>
  <si>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</si>
  <si>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</si>
  <si>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</si>
  <si>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</si>
  <si>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</si>
  <si>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</si>
  <si>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</si>
  <si>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</si>
  <si>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</si>
  <si>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</si>
  <si>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</si>
  <si>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</si>
  <si>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</si>
  <si>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</si>
  <si>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</si>
  <si>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</si>
  <si>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</si>
  <si>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</si>
  <si>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</si>
  <si>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</si>
  <si>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</si>
  <si>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</si>
  <si>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</si>
  <si>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</si>
  <si>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</si>
  <si>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</si>
  <si>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</si>
  <si>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</si>
  <si>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</si>
  <si>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</si>
  <si>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</si>
  <si>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</si>
  <si>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</si>
  <si>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</si>
  <si>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</si>
  <si>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</si>
  <si>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</si>
  <si>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</si>
  <si>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</si>
  <si>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</si>
  <si>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</si>
  <si>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</si>
  <si>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</si>
  <si>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</si>
  <si>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</si>
  <si>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</si>
  <si>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</si>
  <si>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</si>
  <si>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</si>
  <si>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</si>
  <si>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</si>
  <si>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</si>
  <si>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</si>
  <si>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</si>
  <si>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</si>
  <si>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</si>
  <si>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</si>
  <si>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</si>
  <si>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</si>
  <si>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</si>
  <si>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</si>
  <si>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</si>
  <si>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</si>
  <si>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</si>
  <si>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</si>
  <si>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</si>
  <si>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</si>
  <si>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</si>
  <si>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</si>
  <si>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</si>
  <si>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</si>
  <si>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</si>
  <si>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</si>
  <si>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</si>
  <si>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</si>
  <si>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</si>
  <si>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</si>
  <si>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</si>
  <si>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</si>
  <si>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</si>
  <si>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</si>
  <si>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</si>
  <si>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</si>
  <si>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</si>
  <si>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</si>
  <si>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</si>
  <si>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</si>
  <si>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</si>
  <si>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</si>
  <si>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</si>
  <si>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</si>
  <si>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</si>
  <si>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</si>
  <si>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</si>
  <si>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</si>
  <si>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</si>
  <si>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</si>
  <si>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</si>
  <si>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</si>
  <si>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</si>
  <si>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</si>
  <si>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</si>
  <si>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</si>
  <si>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</si>
  <si>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</si>
  <si>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</si>
  <si>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</si>
  <si>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</si>
  <si>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</si>
  <si>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</si>
  <si>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</si>
  <si>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</si>
  <si>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</si>
  <si>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</si>
  <si>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</si>
  <si>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</si>
  <si>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</si>
  <si>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</si>
  <si>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</si>
  <si>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</si>
  <si>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</si>
  <si>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</si>
  <si>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</si>
  <si>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</si>
  <si>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</si>
  <si>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</si>
  <si>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</si>
  <si>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</si>
  <si>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</si>
  <si>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</si>
  <si>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</si>
  <si>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</si>
  <si>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</si>
  <si>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</si>
  <si>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</si>
  <si>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</si>
  <si>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</si>
  <si>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</si>
  <si>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</si>
  <si>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</si>
  <si>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</si>
  <si>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</si>
  <si>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</si>
  <si>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</si>
  <si>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</si>
  <si>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</si>
  <si>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</si>
  <si>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</si>
  <si>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</si>
  <si>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</si>
  <si>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</si>
  <si>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</si>
  <si>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</si>
  <si>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</si>
  <si>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</si>
  <si>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</si>
  <si>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</si>
  <si>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</si>
  <si>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</si>
  <si>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</si>
  <si>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</si>
  <si>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</si>
  <si>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</si>
  <si>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</si>
  <si>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</si>
  <si>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</si>
  <si>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</si>
  <si>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</si>
  <si>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</si>
  <si>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</si>
  <si>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</si>
  <si>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</si>
  <si>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</si>
  <si>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</si>
  <si>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</si>
  <si>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</si>
  <si>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</si>
  <si>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</si>
  <si>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</si>
  <si>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</si>
  <si>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</si>
  <si>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</si>
  <si>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</si>
  <si>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</si>
  <si>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</si>
  <si>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</si>
  <si>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</si>
  <si>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</si>
  <si>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</si>
  <si>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</si>
  <si>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</si>
  <si>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</si>
  <si>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</si>
  <si>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</si>
  <si>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</si>
  <si>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</si>
  <si>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</si>
  <si>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</si>
  <si>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</si>
  <si>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</si>
  <si>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</si>
  <si>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</si>
  <si>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</si>
  <si>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</si>
  <si>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</si>
  <si>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</si>
  <si>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</si>
  <si>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</si>
  <si>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</si>
  <si>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</si>
  <si>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</si>
  <si>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</si>
  <si>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</si>
  <si>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</si>
  <si>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</si>
  <si>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</si>
  <si>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</si>
  <si>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</si>
  <si>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</si>
  <si>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</si>
  <si>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</si>
  <si>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</si>
  <si>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</si>
  <si>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</si>
  <si>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</si>
  <si>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</si>
  <si>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</si>
  <si>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</si>
  <si>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</si>
  <si>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</si>
  <si>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</si>
  <si>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</si>
  <si>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</si>
  <si>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</si>
  <si>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</si>
  <si>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</si>
  <si>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</si>
  <si>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</si>
  <si>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</si>
  <si>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</si>
  <si>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</si>
  <si>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</si>
  <si>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</si>
  <si>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</si>
  <si>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</si>
  <si>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</si>
  <si>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</si>
  <si>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</si>
  <si>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</si>
  <si>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</si>
  <si>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</si>
  <si>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</si>
  <si>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</si>
  <si>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</si>
  <si>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</si>
  <si>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</si>
  <si>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</si>
  <si>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</si>
  <si>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</si>
  <si>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</si>
  <si>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</si>
  <si>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</si>
  <si>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</si>
  <si>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</si>
  <si>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</si>
  <si>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</si>
  <si>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</si>
  <si>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</si>
  <si>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</si>
  <si>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</si>
  <si>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</si>
  <si>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</si>
  <si>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</si>
  <si>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</si>
  <si>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</si>
  <si>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</si>
  <si>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</si>
  <si>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</si>
  <si>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</si>
  <si>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</si>
  <si>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</si>
  <si>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</si>
  <si>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</si>
  <si>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</si>
  <si>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</si>
  <si>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</si>
  <si>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</si>
  <si>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</si>
  <si>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</si>
  <si>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</si>
  <si>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</si>
  <si>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</si>
  <si>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</si>
  <si>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</si>
  <si>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</si>
  <si>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</si>
  <si>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</si>
  <si>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</si>
  <si>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</si>
  <si>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</si>
  <si>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</si>
  <si>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</si>
  <si>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</si>
  <si>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</si>
  <si>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</si>
  <si>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</si>
  <si>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</si>
  <si>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</si>
  <si>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</si>
  <si>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</si>
  <si>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</si>
  <si>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</si>
  <si>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</si>
  <si>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</si>
  <si>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</si>
  <si>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</si>
  <si>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</si>
  <si>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</si>
  <si>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</si>
  <si>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</si>
  <si>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</si>
  <si>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</si>
  <si>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</si>
  <si>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</si>
  <si>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</si>
  <si>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</si>
  <si>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</si>
  <si>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</si>
  <si>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</si>
  <si>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</si>
  <si>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</si>
  <si>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</si>
  <si>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</si>
  <si>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</si>
  <si>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</si>
  <si>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</si>
  <si>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</si>
  <si>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</si>
  <si>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</si>
  <si>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</si>
  <si>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</si>
  <si>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</si>
  <si>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</si>
  <si>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</si>
  <si>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</si>
  <si>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</si>
  <si>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</si>
  <si>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</si>
  <si>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</si>
  <si>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</si>
  <si>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</si>
  <si>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</si>
  <si>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</si>
  <si>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</si>
  <si>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</si>
  <si>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</si>
  <si>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</si>
  <si>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</si>
  <si>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</si>
  <si>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</si>
  <si>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</si>
  <si>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</si>
  <si>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</si>
  <si>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</si>
  <si>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</si>
  <si>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</si>
  <si>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</si>
  <si>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</si>
  <si>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</si>
  <si>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</si>
  <si>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</si>
  <si>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</si>
  <si>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</si>
  <si>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</si>
  <si>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</si>
  <si>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</si>
  <si>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</si>
  <si>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</si>
  <si>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</si>
  <si>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</si>
  <si>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</si>
  <si>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</si>
  <si>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</si>
  <si>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</si>
  <si>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</si>
  <si>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</si>
  <si>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</si>
  <si>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</si>
  <si>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</si>
  <si>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</si>
  <si>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</si>
  <si>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</si>
  <si>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</si>
  <si>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</si>
  <si>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</si>
  <si>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</si>
  <si>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</si>
  <si>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</si>
  <si>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</si>
  <si>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</si>
  <si>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</si>
  <si>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</si>
  <si>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</si>
  <si>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</si>
  <si>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</si>
  <si>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</si>
  <si>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</si>
  <si>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</si>
  <si>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</si>
  <si>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</si>
  <si>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</si>
  <si>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</si>
  <si>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</si>
  <si>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</si>
  <si>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</si>
  <si>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</si>
  <si>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</si>
  <si>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</si>
  <si>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</si>
  <si>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</si>
  <si>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</si>
  <si>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</si>
  <si>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</si>
  <si>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</si>
  <si>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</si>
  <si>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</si>
  <si>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</si>
  <si>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</si>
  <si>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</si>
  <si>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</si>
  <si>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</si>
  <si>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</si>
  <si>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</si>
  <si>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</si>
  <si>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</si>
  <si>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</si>
  <si>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</si>
  <si>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</si>
  <si>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</si>
  <si>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</si>
  <si>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</si>
  <si>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</si>
  <si>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</si>
  <si>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</si>
  <si>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</si>
  <si>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</si>
  <si>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</si>
  <si>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</si>
  <si>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</si>
  <si>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</si>
  <si>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</si>
  <si>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</si>
  <si>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</si>
  <si>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</si>
  <si>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</si>
  <si>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</si>
  <si>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</si>
  <si>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</si>
  <si>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</si>
  <si>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</si>
  <si>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</si>
  <si>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</si>
  <si>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</si>
  <si>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</si>
  <si>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</si>
  <si>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</si>
  <si>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</si>
  <si>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</si>
  <si>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</si>
  <si>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</si>
  <si>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</si>
  <si>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</si>
  <si>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</si>
  <si>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</si>
  <si>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</si>
  <si>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</si>
  <si>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</si>
  <si>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</si>
  <si>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</si>
  <si>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</si>
  <si>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</si>
  <si>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</si>
  <si>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</si>
  <si>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</si>
  <si>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</si>
  <si>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</si>
  <si>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</si>
  <si>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</si>
  <si>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</si>
  <si>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</si>
  <si>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</si>
  <si>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</si>
  <si>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</si>
  <si>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</si>
  <si>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</si>
  <si>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</si>
  <si>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</si>
  <si>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</si>
  <si>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</si>
  <si>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</si>
  <si>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</si>
  <si>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</si>
  <si>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</si>
  <si>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</si>
  <si>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</si>
  <si>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</si>
  <si>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</si>
  <si>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</si>
  <si>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</si>
  <si>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</si>
  <si>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</si>
  <si>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</si>
  <si>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</si>
  <si>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</si>
  <si>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</si>
  <si>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</si>
  <si>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</si>
  <si>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</si>
  <si>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</si>
  <si>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</si>
  <si>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</si>
  <si>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</si>
  <si>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</si>
  <si>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</si>
  <si>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</si>
  <si>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</si>
  <si>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</si>
  <si>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</si>
  <si>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</si>
  <si>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</si>
  <si>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</si>
  <si>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</si>
  <si>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</si>
  <si>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</si>
  <si>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</si>
  <si>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</si>
  <si>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</si>
  <si>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</si>
  <si>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</si>
  <si>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</si>
  <si>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</si>
  <si>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</si>
  <si>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</si>
  <si>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</si>
  <si>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</si>
  <si>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</si>
  <si>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</si>
  <si>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</si>
  <si>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</si>
  <si>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</si>
  <si>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</si>
  <si>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</si>
  <si>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</si>
  <si>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</si>
  <si>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</si>
  <si>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</si>
  <si>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</si>
  <si>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</si>
  <si>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</si>
  <si>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</si>
  <si>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</si>
  <si>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</si>
  <si>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</si>
  <si>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</si>
  <si>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</si>
  <si>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</si>
  <si>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</si>
  <si>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</si>
  <si>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</si>
  <si>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</si>
  <si>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</si>
  <si>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</si>
  <si>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</si>
  <si>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</si>
  <si>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</si>
  <si>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</si>
  <si>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</si>
  <si>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</si>
  <si>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</si>
  <si>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</si>
  <si>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</si>
  <si>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</si>
  <si>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</si>
  <si>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</si>
  <si>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</si>
  <si>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</si>
  <si>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</si>
  <si>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</si>
  <si>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</si>
  <si>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</si>
  <si>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</si>
  <si>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</si>
  <si>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</si>
  <si>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</si>
  <si>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</si>
  <si>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</si>
  <si>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</si>
  <si>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</si>
  <si>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</si>
  <si>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</si>
  <si>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</si>
  <si>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</si>
  <si>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</si>
  <si>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</si>
  <si>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</si>
  <si>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</si>
  <si>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</si>
  <si>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</si>
  <si>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</si>
  <si>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</si>
  <si>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</si>
  <si>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</si>
  <si>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</si>
  <si>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</si>
  <si>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</si>
  <si>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</si>
  <si>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</si>
  <si>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</si>
  <si>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</si>
  <si>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</si>
  <si>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</si>
  <si>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</si>
  <si>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</si>
  <si>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</si>
  <si>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</si>
  <si>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</si>
  <si>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</si>
  <si>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</si>
  <si>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</si>
  <si>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</si>
  <si>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</si>
  <si>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</si>
  <si>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</si>
  <si>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</si>
  <si>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</si>
  <si>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</si>
  <si>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</si>
  <si>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</si>
  <si>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</si>
  <si>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</si>
  <si>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</si>
  <si>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</si>
  <si>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</si>
  <si>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</si>
  <si>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</si>
  <si>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</si>
  <si>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</si>
  <si>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</si>
  <si>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</si>
  <si>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</si>
  <si>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</si>
  <si>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</si>
  <si>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</si>
  <si>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</si>
  <si>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</si>
  <si>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</si>
  <si>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</si>
  <si>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</si>
  <si>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</si>
  <si>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</si>
  <si>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</si>
  <si>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</si>
  <si>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</si>
  <si>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</si>
  <si>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</si>
  <si>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</si>
  <si>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</si>
  <si>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</si>
  <si>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</si>
  <si>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</si>
  <si>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</si>
  <si>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</si>
  <si>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</si>
  <si>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</si>
  <si>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</si>
  <si>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</si>
  <si>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</si>
  <si>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</si>
  <si>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</si>
  <si>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</si>
  <si>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</si>
  <si>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</si>
  <si>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</si>
  <si>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</si>
  <si>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</si>
  <si>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</si>
  <si>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</si>
  <si>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</si>
  <si>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</si>
  <si>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</si>
  <si>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</si>
  <si>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</si>
  <si>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</si>
  <si>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</si>
  <si>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</si>
  <si>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</si>
  <si>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</si>
  <si>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</si>
  <si>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</si>
  <si>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</si>
  <si>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</si>
  <si>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</si>
  <si>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</si>
  <si>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</si>
  <si>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</si>
  <si>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</si>
  <si>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</si>
  <si>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</si>
  <si>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</si>
  <si>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</si>
  <si>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</si>
  <si>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</si>
  <si>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</si>
  <si>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</si>
  <si>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</si>
  <si>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</si>
  <si>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</si>
  <si>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</si>
  <si>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</si>
  <si>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</si>
  <si>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</si>
  <si>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</si>
  <si>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</si>
  <si>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</si>
  <si>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</si>
  <si>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</si>
  <si>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</si>
  <si>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</si>
  <si>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</si>
  <si>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</si>
  <si>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</si>
  <si>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</si>
  <si>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</si>
  <si>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</si>
  <si>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</si>
  <si>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</si>
  <si>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</si>
  <si>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</si>
  <si>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</si>
  <si>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</si>
  <si>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</si>
  <si>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</si>
  <si>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</si>
  <si>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</si>
  <si>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</si>
  <si>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</si>
  <si>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</si>
  <si>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</si>
  <si>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</si>
  <si>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</si>
  <si>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</si>
  <si>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</si>
  <si>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</si>
  <si>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</si>
  <si>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</si>
  <si>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</si>
  <si>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</si>
  <si>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</si>
  <si>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</si>
  <si>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</si>
  <si>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</si>
  <si>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</si>
  <si>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</si>
  <si>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</si>
  <si>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</si>
  <si>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</si>
  <si>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</si>
  <si>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</si>
  <si>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</si>
  <si>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</si>
  <si>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</si>
  <si>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</si>
  <si>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</si>
  <si>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</si>
  <si>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</si>
  <si>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</si>
  <si>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</si>
  <si>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</si>
  <si>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</si>
  <si>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</si>
  <si>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</si>
  <si>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</si>
  <si>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</si>
  <si>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</si>
  <si>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</si>
  <si>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</si>
  <si>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</si>
  <si>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</si>
  <si>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</si>
  <si>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</si>
  <si>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</si>
  <si>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</si>
  <si>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</si>
  <si>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</si>
  <si>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</si>
  <si>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</si>
  <si>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</si>
  <si>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</si>
  <si>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</si>
  <si>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</si>
  <si>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</si>
  <si>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</si>
  <si>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</si>
  <si>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</si>
  <si>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</si>
  <si>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</si>
  <si>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</si>
  <si>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</si>
  <si>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</si>
  <si>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</si>
  <si>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</si>
  <si>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</si>
  <si>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</si>
  <si>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</si>
  <si>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</si>
  <si>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</si>
  <si>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</si>
  <si>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</si>
  <si>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</si>
  <si>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</si>
  <si>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</si>
  <si>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</si>
  <si>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</si>
  <si>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</si>
  <si>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</si>
  <si>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</si>
  <si>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</si>
  <si>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</si>
  <si>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</si>
  <si>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</si>
  <si>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</si>
  <si>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</si>
  <si>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</si>
  <si>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</si>
  <si>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</si>
  <si>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</si>
  <si>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</si>
  <si>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</si>
  <si>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</si>
  <si>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</si>
  <si>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</si>
  <si>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</si>
  <si>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</si>
  <si>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</si>
  <si>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</si>
  <si>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</si>
  <si>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</si>
  <si>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</si>
  <si>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</si>
  <si>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</si>
  <si>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</si>
  <si>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</si>
  <si>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</si>
  <si>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</si>
  <si>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</si>
  <si>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</si>
  <si>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</si>
  <si>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</si>
  <si>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</si>
  <si>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</si>
  <si>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</si>
  <si>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</si>
  <si>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</si>
  <si>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</si>
  <si>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</si>
  <si>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</si>
  <si>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</si>
  <si>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</si>
  <si>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</si>
  <si>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</si>
  <si>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</si>
  <si>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</si>
  <si>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</si>
  <si>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</si>
  <si>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</si>
  <si>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</si>
  <si>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</si>
  <si>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</si>
  <si>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</si>
  <si>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</si>
  <si>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</si>
  <si>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</si>
  <si>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</si>
  <si>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</si>
  <si>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</si>
  <si>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</si>
  <si>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</si>
  <si>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</si>
  <si>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</si>
  <si>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</si>
  <si>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</si>
  <si>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</si>
  <si>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</si>
  <si>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</si>
  <si>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</si>
  <si>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</si>
  <si>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</si>
  <si>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</si>
  <si>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</si>
  <si>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</si>
  <si>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</si>
  <si>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</si>
  <si>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</si>
  <si>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</si>
  <si>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</si>
  <si>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</si>
  <si>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</si>
  <si>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</si>
  <si>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</si>
  <si>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</si>
  <si>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</si>
  <si>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</si>
  <si>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</si>
  <si>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</si>
  <si>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</si>
  <si>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</si>
  <si>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</si>
  <si>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</si>
  <si>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</si>
  <si>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</si>
  <si>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</si>
  <si>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</si>
  <si>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</si>
  <si>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</si>
  <si>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</si>
  <si>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</si>
  <si>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</si>
  <si>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</si>
  <si>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</si>
  <si>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</si>
  <si>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</si>
  <si>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</si>
  <si>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</si>
  <si>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</si>
  <si>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</si>
  <si>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</si>
  <si>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</si>
  <si>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</si>
  <si>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</si>
  <si>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</si>
  <si>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</si>
  <si>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</si>
  <si>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</si>
  <si>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</si>
  <si>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</si>
  <si>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</si>
  <si>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</si>
  <si>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</si>
  <si>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</si>
  <si>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</si>
  <si>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</si>
  <si>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</si>
  <si>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</si>
  <si>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</si>
  <si>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</si>
  <si>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</si>
  <si>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</si>
  <si>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</si>
  <si>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</si>
  <si>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</si>
  <si>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</si>
  <si>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</si>
  <si>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</si>
  <si>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</si>
  <si>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</si>
  <si>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</si>
  <si>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</si>
  <si>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</si>
  <si>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</si>
  <si>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</si>
  <si>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</si>
  <si>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</si>
  <si>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</si>
  <si>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</si>
  <si>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</si>
  <si>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</si>
  <si>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</si>
  <si>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</si>
  <si>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</si>
  <si>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</si>
  <si>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</si>
  <si>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</si>
  <si>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</si>
  <si>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</si>
  <si>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</si>
  <si>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</si>
  <si>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</si>
  <si>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</si>
  <si>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</si>
  <si>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</si>
  <si>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</si>
  <si>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</si>
  <si>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</si>
  <si>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</si>
  <si>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</si>
  <si>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</si>
  <si>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</si>
  <si>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</si>
  <si>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</si>
  <si>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</si>
  <si>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</si>
  <si>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</si>
  <si>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</si>
  <si>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</si>
  <si>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</si>
  <si>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</si>
  <si>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</si>
  <si>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</si>
  <si>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</si>
  <si>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</si>
  <si>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</si>
  <si>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</si>
  <si>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</si>
  <si>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</si>
  <si>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</si>
  <si>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</si>
  <si>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</si>
  <si>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</si>
  <si>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</si>
  <si>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</si>
  <si>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</si>
  <si>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</si>
  <si>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</si>
  <si>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</si>
  <si>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</si>
  <si>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</si>
  <si>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</si>
  <si>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</si>
  <si>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</si>
  <si>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</si>
  <si>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</si>
  <si>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</si>
  <si>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</si>
  <si>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</si>
  <si>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</si>
  <si>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</si>
  <si>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</si>
  <si>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</si>
  <si>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</si>
  <si>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</si>
  <si>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</si>
  <si>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</si>
  <si>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</si>
  <si>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</si>
  <si>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</si>
  <si>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</si>
  <si>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</si>
  <si>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</si>
  <si>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</si>
  <si>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</si>
  <si>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</si>
  <si>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</si>
  <si>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</si>
  <si>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</si>
  <si>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</si>
  <si>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</si>
  <si>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</si>
  <si>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</si>
  <si>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</si>
  <si>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</si>
  <si>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</si>
  <si>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</si>
  <si>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</si>
  <si>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</si>
  <si>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</si>
  <si>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</si>
  <si>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</si>
  <si>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</si>
  <si>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</si>
  <si>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</si>
  <si>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</si>
  <si>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</si>
  <si>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</si>
  <si>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</si>
  <si>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</si>
  <si>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</si>
  <si>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</si>
  <si>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</si>
  <si>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</si>
  <si>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</si>
  <si>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</si>
  <si>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</si>
  <si>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</si>
  <si>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</si>
  <si>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</si>
  <si>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</si>
  <si>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</si>
  <si>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</si>
  <si>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</si>
  <si>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</si>
  <si>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</si>
  <si>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</si>
  <si>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</si>
  <si>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</si>
  <si>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</si>
  <si>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</si>
  <si>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</si>
  <si>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</si>
  <si>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</si>
  <si>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</si>
  <si>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</si>
  <si>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</si>
  <si>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</si>
  <si>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</si>
  <si>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</si>
  <si>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</si>
  <si>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</si>
  <si>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</si>
  <si>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</si>
  <si>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</si>
  <si>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</si>
  <si>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</si>
  <si>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</si>
  <si>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</si>
  <si>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</si>
  <si>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</si>
  <si>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</si>
  <si>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</si>
  <si>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</si>
  <si>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</si>
  <si>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</si>
  <si>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</si>
  <si>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</si>
  <si>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</si>
  <si>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</si>
  <si>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</si>
  <si>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</si>
  <si>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</si>
  <si>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</si>
  <si>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</si>
  <si>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</si>
  <si>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</si>
  <si>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</si>
  <si>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</si>
  <si>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</si>
  <si>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</si>
  <si>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</si>
  <si>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</si>
  <si>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</si>
  <si>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</si>
  <si>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</si>
  <si>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</si>
  <si>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</si>
  <si>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</si>
  <si>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</si>
  <si>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</si>
  <si>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</si>
  <si>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</si>
  <si>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</si>
  <si>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</si>
  <si>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</si>
  <si>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</si>
  <si>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</si>
  <si>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</si>
  <si>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</si>
  <si>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</si>
  <si>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</si>
  <si>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</si>
  <si>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</si>
  <si>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</si>
  <si>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</si>
  <si>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</si>
  <si>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</si>
  <si>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</si>
  <si>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</si>
  <si>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</si>
  <si>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</si>
  <si>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</si>
  <si>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</si>
  <si>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</si>
  <si>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</si>
  <si>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</si>
  <si>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</si>
  <si>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</si>
  <si>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</si>
  <si>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</si>
  <si>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</si>
  <si>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</si>
  <si>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</si>
  <si>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</si>
  <si>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</si>
  <si>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</si>
  <si>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</si>
  <si>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</si>
  <si>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</si>
  <si>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</si>
  <si>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</si>
  <si>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</si>
  <si>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</si>
  <si>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</si>
  <si>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</si>
  <si>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</si>
  <si>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</si>
  <si>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</si>
  <si>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</si>
  <si>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</si>
  <si>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</si>
  <si>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</si>
  <si>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</si>
  <si>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</si>
  <si>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</si>
  <si>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</si>
  <si>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</si>
  <si>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</si>
  <si>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</si>
  <si>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</si>
  <si>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</si>
  <si>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</si>
  <si>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</si>
  <si>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</si>
  <si>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</si>
  <si>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</si>
  <si>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</si>
  <si>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</si>
  <si>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</si>
  <si>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</si>
  <si>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</si>
  <si>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</si>
  <si>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</si>
  <si>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</si>
  <si>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</si>
  <si>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</si>
  <si>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</si>
  <si>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</si>
  <si>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</si>
  <si>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</si>
  <si>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</si>
  <si>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</si>
  <si>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</si>
  <si>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</si>
  <si>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</si>
  <si>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</si>
  <si>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</si>
  <si>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</si>
  <si>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</si>
  <si>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</si>
  <si>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</si>
  <si>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</si>
  <si>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</si>
  <si>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</si>
  <si>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</si>
  <si>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</si>
  <si>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</si>
  <si>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</si>
  <si>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</si>
  <si>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</si>
  <si>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</si>
  <si>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</si>
  <si>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</si>
  <si>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</si>
  <si>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</si>
  <si>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</si>
  <si>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</si>
  <si>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</si>
  <si>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</si>
  <si>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</si>
  <si>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</si>
  <si>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</si>
  <si>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</si>
  <si>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</si>
  <si>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</si>
  <si>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</si>
  <si>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</si>
  <si>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</si>
  <si>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</si>
  <si>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</si>
  <si>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</si>
  <si>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</si>
  <si>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</si>
  <si>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</si>
  <si>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</si>
  <si>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</si>
  <si>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</si>
  <si>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</si>
  <si>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</si>
  <si>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</si>
  <si>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</si>
  <si>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</si>
  <si>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</si>
  <si>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</si>
  <si>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</si>
  <si>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</si>
  <si>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</si>
  <si>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</si>
  <si>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</si>
  <si>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</si>
  <si>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</si>
  <si>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</si>
  <si>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</si>
  <si>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</si>
  <si>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</si>
  <si>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</si>
  <si>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</si>
  <si>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</si>
  <si>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</si>
  <si>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</si>
  <si>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</si>
  <si>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</si>
  <si>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</si>
  <si>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</si>
  <si>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</si>
  <si>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</si>
  <si>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</si>
  <si>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</si>
  <si>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</si>
  <si>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</si>
  <si>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</si>
  <si>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</si>
  <si>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</si>
  <si>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</si>
  <si>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</si>
  <si>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</si>
  <si>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</si>
  <si>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</si>
  <si>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</si>
  <si>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</si>
  <si>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</si>
  <si>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</si>
  <si>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</si>
  <si>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</si>
  <si>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</si>
  <si>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</si>
  <si>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</si>
  <si>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</si>
  <si>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</si>
  <si>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</si>
  <si>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</si>
  <si>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</si>
  <si>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</si>
  <si>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</si>
  <si>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</si>
  <si>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</si>
  <si>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</si>
  <si>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</si>
  <si>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</si>
  <si>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</si>
  <si>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</si>
  <si>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</si>
  <si>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</si>
  <si>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</si>
  <si>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</si>
  <si>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</si>
  <si>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</si>
  <si>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</si>
  <si>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</si>
  <si>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</si>
  <si>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</si>
  <si>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</si>
  <si>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</si>
  <si>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</si>
  <si>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</si>
  <si>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</si>
  <si>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</si>
  <si>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</si>
  <si>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</si>
  <si>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</si>
  <si>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</si>
  <si>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</si>
  <si>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</si>
  <si>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</si>
  <si>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</si>
  <si>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</si>
  <si>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</si>
  <si>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</si>
  <si>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</si>
  <si>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</si>
  <si>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</si>
  <si>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</si>
  <si>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</si>
  <si>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</si>
  <si>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</si>
  <si>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</si>
  <si>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</si>
  <si>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</si>
  <si>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</si>
  <si>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</si>
  <si>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</si>
  <si>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</si>
  <si>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</si>
  <si>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</si>
  <si>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</si>
  <si>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</si>
  <si>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</si>
  <si>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</si>
  <si>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</si>
  <si>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</si>
  <si>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</si>
  <si>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</si>
  <si>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</si>
  <si>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</si>
  <si>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</si>
  <si>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</si>
  <si>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</si>
  <si>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</si>
  <si>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</si>
  <si>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</si>
  <si>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</si>
  <si>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</si>
  <si>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</si>
  <si>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</si>
  <si>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</si>
  <si>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</si>
  <si>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</si>
  <si>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</si>
  <si>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</si>
  <si>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</si>
  <si>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</si>
  <si>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</si>
  <si>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</si>
  <si>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</si>
  <si>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</si>
  <si>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</si>
  <si>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</si>
  <si>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</si>
  <si>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</si>
  <si>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</si>
  <si>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</si>
  <si>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</si>
  <si>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</si>
  <si>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</si>
  <si>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</si>
  <si>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</si>
  <si>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</si>
  <si>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</si>
  <si>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</si>
  <si>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</si>
  <si>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</si>
  <si>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</si>
  <si>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</si>
  <si>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</si>
  <si>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</si>
  <si>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</si>
  <si>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</si>
  <si>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</si>
  <si>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</si>
  <si>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</si>
  <si>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</si>
  <si>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</si>
  <si>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</si>
  <si>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</si>
  <si>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</si>
  <si>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</si>
  <si>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</si>
  <si>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</si>
  <si>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</si>
  <si>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</si>
  <si>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</si>
  <si>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</si>
  <si>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</si>
  <si>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</si>
  <si>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</si>
  <si>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</si>
  <si>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</si>
  <si>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</si>
  <si>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</si>
  <si>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</si>
  <si>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</si>
  <si>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</si>
  <si>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</si>
  <si>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</si>
  <si>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</si>
  <si>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</si>
  <si>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</si>
  <si>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</si>
  <si>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</si>
  <si>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</si>
  <si>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</si>
  <si>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</si>
  <si>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</si>
  <si>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</si>
  <si>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</si>
  <si>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</si>
  <si>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</si>
  <si>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</si>
  <si>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</si>
  <si>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</si>
  <si>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</si>
  <si>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</si>
  <si>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</si>
  <si>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</si>
  <si>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</si>
  <si>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</si>
  <si>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</si>
  <si>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</si>
  <si>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</si>
  <si>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</si>
  <si>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</si>
  <si>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</si>
  <si>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</si>
  <si>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</si>
  <si>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</si>
  <si>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</si>
  <si>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</si>
  <si>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</si>
  <si>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</si>
  <si>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</si>
  <si>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</si>
  <si>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</si>
  <si>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</si>
  <si>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</si>
  <si>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</si>
  <si>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</si>
  <si>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</si>
  <si>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</si>
  <si>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</si>
  <si>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</si>
  <si>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</si>
  <si>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</si>
  <si>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</si>
  <si>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</si>
  <si>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</si>
  <si>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</si>
  <si>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</si>
  <si>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</si>
  <si>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</si>
  <si>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</si>
  <si>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</si>
  <si>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</si>
  <si>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</si>
  <si>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</si>
  <si>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</si>
  <si>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</si>
  <si>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</si>
  <si>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</si>
  <si>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</si>
  <si>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</si>
  <si>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</si>
  <si>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</si>
  <si>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</si>
  <si>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</si>
  <si>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</si>
  <si>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</si>
  <si>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</si>
  <si>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</si>
  <si>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</si>
  <si>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</si>
  <si>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</si>
  <si>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</si>
  <si>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</si>
  <si>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</si>
  <si>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</si>
  <si>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</si>
  <si>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</si>
  <si>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</si>
  <si>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</si>
  <si>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</si>
  <si>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</si>
  <si>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</si>
  <si>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</si>
  <si>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</si>
  <si>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</si>
  <si>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</si>
  <si>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</si>
  <si>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</si>
  <si>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</si>
  <si>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</si>
  <si>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</si>
  <si>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</si>
  <si>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</si>
  <si>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</si>
  <si>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</si>
  <si>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</si>
  <si>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</si>
  <si>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</si>
  <si>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</si>
  <si>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</si>
  <si>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</si>
  <si>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</si>
  <si>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</si>
  <si>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</si>
  <si>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</si>
  <si>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</si>
  <si>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</si>
  <si>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</si>
  <si>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</si>
  <si>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</si>
  <si>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</si>
  <si>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</si>
  <si>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</si>
  <si>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</si>
  <si>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</si>
  <si>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</si>
  <si>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</si>
  <si>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</si>
  <si>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</si>
  <si>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</si>
  <si>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</si>
  <si>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</si>
  <si>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</si>
  <si>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</si>
  <si>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</si>
  <si>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</si>
  <si>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</si>
  <si>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</si>
  <si>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</si>
  <si>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</si>
  <si>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</si>
  <si>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</si>
  <si>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</si>
  <si>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</si>
  <si>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</si>
  <si>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</si>
  <si>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</si>
  <si>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</si>
  <si>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</si>
  <si>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</si>
  <si>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</si>
  <si>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</si>
  <si>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</si>
  <si>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</si>
  <si>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</si>
  <si>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</si>
  <si>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</si>
  <si>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</si>
  <si>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</si>
  <si>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</si>
  <si>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</si>
  <si>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</si>
  <si>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</si>
  <si>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</si>
  <si>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</si>
  <si>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</si>
  <si>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</si>
  <si>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</si>
  <si>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</si>
  <si>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</si>
  <si>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</si>
  <si>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</si>
  <si>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</si>
  <si>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</si>
  <si>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</si>
  <si>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</si>
  <si>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</si>
  <si>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</si>
  <si>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</si>
  <si>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</si>
  <si>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</si>
  <si>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</si>
  <si>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</si>
  <si>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</si>
  <si>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</si>
  <si>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</si>
  <si>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</si>
  <si>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</si>
  <si>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</si>
  <si>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</si>
  <si>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</si>
  <si>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</si>
  <si>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</si>
  <si>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</si>
  <si>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</si>
  <si>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</si>
  <si>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</si>
  <si>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</si>
  <si>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</si>
  <si>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</si>
  <si>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</si>
  <si>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</si>
  <si>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</si>
  <si>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</si>
  <si>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</si>
  <si>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</si>
  <si>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</si>
  <si>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</si>
  <si>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</si>
  <si>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</si>
  <si>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</si>
  <si>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</si>
  <si>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</si>
  <si>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</si>
  <si>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</si>
  <si>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</si>
  <si>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</si>
  <si>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</si>
  <si>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</si>
  <si>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</si>
  <si>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</si>
  <si>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</si>
  <si>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</si>
  <si>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</si>
  <si>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</si>
  <si>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</si>
  <si>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</si>
  <si>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</si>
  <si>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</si>
  <si>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</si>
  <si>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</si>
  <si>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</si>
  <si>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</si>
  <si>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</si>
  <si>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</si>
  <si>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</si>
  <si>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</si>
  <si>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</si>
  <si>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</si>
  <si>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</si>
  <si>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</si>
  <si>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</si>
  <si>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</si>
  <si>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</si>
  <si>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</si>
  <si>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</si>
  <si>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</si>
  <si>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</si>
  <si>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</si>
  <si>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</si>
  <si>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</si>
  <si>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</si>
  <si>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</si>
  <si>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</si>
  <si>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</si>
  <si>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</si>
  <si>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</si>
  <si>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</si>
  <si>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</si>
  <si>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</si>
  <si>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</si>
  <si>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</si>
  <si>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</si>
  <si>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</si>
  <si>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</si>
  <si>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</si>
  <si>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</si>
  <si>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</si>
  <si>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</si>
  <si>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</si>
  <si>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</si>
  <si>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</si>
  <si>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</si>
  <si>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</si>
  <si>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</si>
  <si>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</si>
  <si>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</si>
  <si>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</si>
  <si>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</si>
  <si>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</si>
  <si>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</si>
  <si>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</si>
  <si>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</si>
  <si>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</si>
  <si>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</si>
  <si>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</si>
  <si>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</si>
  <si>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</si>
  <si>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</si>
  <si>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</si>
  <si>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</si>
  <si>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</si>
  <si>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</si>
  <si>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</si>
  <si>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</si>
  <si>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</si>
  <si>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</si>
  <si>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</si>
  <si>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</si>
  <si>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</si>
  <si>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</si>
  <si>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</si>
  <si>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</si>
  <si>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</si>
  <si>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</si>
  <si>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</si>
  <si>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</si>
  <si>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</si>
  <si>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</si>
  <si>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</si>
  <si>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</si>
  <si>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</si>
  <si>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</si>
  <si>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</si>
  <si>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</si>
  <si>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</si>
  <si>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</si>
  <si>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</si>
  <si>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</si>
  <si>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</si>
  <si>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</si>
  <si>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</si>
  <si>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</si>
  <si>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</si>
  <si>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</si>
  <si>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</si>
  <si>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</si>
  <si>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</si>
  <si>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</si>
  <si>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</si>
  <si>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</si>
  <si>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</si>
  <si>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</si>
  <si>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</si>
  <si>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</si>
  <si>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</si>
  <si>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</si>
  <si>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</si>
  <si>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</si>
  <si>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</si>
  <si>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</si>
  <si>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</si>
  <si>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</si>
  <si>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</si>
  <si>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</si>
  <si>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</si>
  <si>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</si>
  <si>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</si>
  <si>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</si>
  <si>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</si>
  <si>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</si>
  <si>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</si>
  <si>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</si>
  <si>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</si>
  <si>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</si>
  <si>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</si>
  <si>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</si>
  <si>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</si>
  <si>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</si>
  <si>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</si>
  <si>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</si>
  <si>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</si>
  <si>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</si>
  <si>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</si>
  <si>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</si>
  <si>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</si>
  <si>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</si>
  <si>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</si>
  <si>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</si>
  <si>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</si>
  <si>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</si>
  <si>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</si>
  <si>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</si>
  <si>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</si>
  <si>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</si>
  <si>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</si>
  <si>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</si>
  <si>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</si>
  <si>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</si>
  <si>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</si>
  <si>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</si>
  <si>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</si>
  <si>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</si>
  <si>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</si>
  <si>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</si>
  <si>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</si>
  <si>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</si>
  <si>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</si>
  <si>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</si>
  <si>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</si>
  <si>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</si>
  <si>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</si>
  <si>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</si>
  <si>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</si>
  <si>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</si>
  <si>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</si>
  <si>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</si>
  <si>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</si>
  <si>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</si>
  <si>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</si>
  <si>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</si>
  <si>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</si>
  <si>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</si>
  <si>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</si>
  <si>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</si>
  <si>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</si>
  <si>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</si>
  <si>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</si>
  <si>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</si>
  <si>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</si>
  <si>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</si>
  <si>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</si>
  <si>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</si>
  <si>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</si>
  <si>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</si>
  <si>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</si>
  <si>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</si>
  <si>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</si>
  <si>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</si>
  <si>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</si>
  <si>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</si>
  <si>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</si>
  <si>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</si>
  <si>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</si>
  <si>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</si>
  <si>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</si>
  <si>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</si>
  <si>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</si>
  <si>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</si>
  <si>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</si>
  <si>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</si>
  <si>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</si>
  <si>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</si>
  <si>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</si>
  <si>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</si>
  <si>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</si>
  <si>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</si>
  <si>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</si>
  <si>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</si>
  <si>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</si>
  <si>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</si>
  <si>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</si>
  <si>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</si>
  <si>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</si>
  <si>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</si>
  <si>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</si>
  <si>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</si>
  <si>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</si>
  <si>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</si>
  <si>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</si>
  <si>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</si>
  <si>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</si>
  <si>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</si>
  <si>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</si>
  <si>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</si>
  <si>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</si>
  <si>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</si>
  <si>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</si>
  <si>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</si>
  <si>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</si>
  <si>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</si>
  <si>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</si>
  <si>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</si>
  <si>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</si>
  <si>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</si>
  <si>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</si>
  <si>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</si>
  <si>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</si>
  <si>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</si>
  <si>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</si>
  <si>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</si>
  <si>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</si>
  <si>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</si>
  <si>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</si>
  <si>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</si>
  <si>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</si>
  <si>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</si>
  <si>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</si>
  <si>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</si>
  <si>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</si>
  <si>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</si>
  <si>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</si>
  <si>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</si>
  <si>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</si>
  <si>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</si>
  <si>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</si>
  <si>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</si>
  <si>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</si>
  <si>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</si>
  <si>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</si>
  <si>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</si>
  <si>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</si>
  <si>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</si>
  <si>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</si>
  <si>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</si>
  <si>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</si>
  <si>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</si>
  <si>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</si>
  <si>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</si>
  <si>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</si>
  <si>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</si>
  <si>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</si>
  <si>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</si>
  <si>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</si>
  <si>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</si>
  <si>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</si>
  <si>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</si>
  <si>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</si>
  <si>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</si>
  <si>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</si>
  <si>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</si>
  <si>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</si>
  <si>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</si>
  <si>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</si>
  <si>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</si>
  <si>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</si>
  <si>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</si>
  <si>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</si>
  <si>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</si>
  <si>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</si>
  <si>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</si>
  <si>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</si>
  <si>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</si>
  <si>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</si>
  <si>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</si>
  <si>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</si>
  <si>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</si>
  <si>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</si>
  <si>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</si>
  <si>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</si>
  <si>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</si>
  <si>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</si>
  <si>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</si>
  <si>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</si>
  <si>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</si>
  <si>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</si>
  <si>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</si>
  <si>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</si>
  <si>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</si>
  <si>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</si>
  <si>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</si>
  <si>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</si>
  <si>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</si>
  <si>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</si>
  <si>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</si>
  <si>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</si>
  <si>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</si>
  <si>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</si>
  <si>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</si>
  <si>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</si>
  <si>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</si>
  <si>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</si>
  <si>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</si>
  <si>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</si>
  <si>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</si>
  <si>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</si>
  <si>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</si>
  <si>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</si>
  <si>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</si>
  <si>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</si>
  <si>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</si>
  <si>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</si>
  <si>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</si>
  <si>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</si>
  <si>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</si>
  <si>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</si>
  <si>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</si>
  <si>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</si>
  <si>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</si>
  <si>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</si>
  <si>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</si>
  <si>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</si>
  <si>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</si>
  <si>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</si>
  <si>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</si>
  <si>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</si>
  <si>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</si>
  <si>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</si>
  <si>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</si>
  <si>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</si>
  <si>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</si>
  <si>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</si>
  <si>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</si>
  <si>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</si>
  <si>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</si>
  <si>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</si>
  <si>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</si>
  <si>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</si>
  <si>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</si>
  <si>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</si>
  <si>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</si>
  <si>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</si>
  <si>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</si>
  <si>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</si>
  <si>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</si>
  <si>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</si>
  <si>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</si>
  <si>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</si>
  <si>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</si>
  <si>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</si>
  <si>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</si>
  <si>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</si>
  <si>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</si>
  <si>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</si>
  <si>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</si>
  <si>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</si>
  <si>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</si>
  <si>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</si>
  <si>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</si>
  <si>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</si>
  <si>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</si>
  <si>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</si>
  <si>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</si>
  <si>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</si>
  <si>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</si>
  <si>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</si>
  <si>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</si>
  <si>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</si>
  <si>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</si>
  <si>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</si>
  <si>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</si>
  <si>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</si>
  <si>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</si>
  <si>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</si>
  <si>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</si>
  <si>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</si>
  <si>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</si>
  <si>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</si>
  <si>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</si>
  <si>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</si>
  <si>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</si>
  <si>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</si>
  <si>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</si>
  <si>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</si>
  <si>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</si>
  <si>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</si>
  <si>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</si>
  <si>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</si>
  <si>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</si>
  <si>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</si>
  <si>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</si>
  <si>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</si>
  <si>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</si>
  <si>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</si>
  <si>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</si>
  <si>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</si>
  <si>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</si>
  <si>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</si>
  <si>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</si>
  <si>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</si>
  <si>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</si>
  <si>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</si>
  <si>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</si>
  <si>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</si>
  <si>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</si>
  <si>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</si>
  <si>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</si>
  <si>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</si>
  <si>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</si>
  <si>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</si>
  <si>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</si>
  <si>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</si>
  <si>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</si>
  <si>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</si>
  <si>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</si>
  <si>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</si>
  <si>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</si>
  <si>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</si>
  <si>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</si>
  <si>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</si>
  <si>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</si>
  <si>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</si>
  <si>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</si>
  <si>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</si>
  <si>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</si>
  <si>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</si>
  <si>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</si>
  <si>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</si>
  <si>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</si>
  <si>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</si>
  <si>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</si>
  <si>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</si>
  <si>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</si>
  <si>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</si>
  <si>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</si>
  <si>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</si>
  <si>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</si>
  <si>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</si>
  <si>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</si>
  <si>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</si>
  <si>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</si>
  <si>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</si>
  <si>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</si>
  <si>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</si>
  <si>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</si>
  <si>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</si>
  <si>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</si>
  <si>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</si>
  <si>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</si>
  <si>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</si>
  <si>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</si>
  <si>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</si>
  <si>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</si>
  <si>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</si>
  <si>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</si>
  <si>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</si>
  <si>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</si>
  <si>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</si>
  <si>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</si>
  <si>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</si>
  <si>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</si>
  <si>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</si>
  <si>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</si>
  <si>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</si>
  <si>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</si>
  <si>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</si>
  <si>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</si>
  <si>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</si>
  <si>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</si>
  <si>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</si>
  <si>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</si>
  <si>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</si>
  <si>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</si>
  <si>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</si>
  <si>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</si>
  <si>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</si>
  <si>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</si>
  <si>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</si>
  <si>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</si>
  <si>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</si>
  <si>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</si>
  <si>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</si>
  <si>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</si>
  <si>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</si>
  <si>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</si>
  <si>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</si>
  <si>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</si>
  <si>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</si>
  <si>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</si>
  <si>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</si>
  <si>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</si>
  <si>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</si>
  <si>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</si>
  <si>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</si>
  <si>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</si>
  <si>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</si>
  <si>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</si>
  <si>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</si>
  <si>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</si>
  <si>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</si>
  <si>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</si>
  <si>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</si>
  <si>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</si>
  <si>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</si>
  <si>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</si>
  <si>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</si>
  <si>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</si>
  <si>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</si>
  <si>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</si>
  <si>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</si>
  <si>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</si>
  <si>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</si>
  <si>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</si>
  <si>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</si>
  <si>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</si>
  <si>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</si>
  <si>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</si>
  <si>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</si>
  <si>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</si>
  <si>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</si>
  <si>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</si>
  <si>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</si>
  <si>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</si>
  <si>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</si>
  <si>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</si>
  <si>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</si>
  <si>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</si>
  <si>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</si>
  <si>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</si>
  <si>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</si>
  <si>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</si>
  <si>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</si>
  <si>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</si>
  <si>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</si>
  <si>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</si>
  <si>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</si>
  <si>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</si>
  <si>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</si>
  <si>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</si>
  <si>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</si>
  <si>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</si>
  <si>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</si>
  <si>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</si>
  <si>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</si>
  <si>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</si>
  <si>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</si>
  <si>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</si>
  <si>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</si>
  <si>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</si>
  <si>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</si>
  <si>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</si>
  <si>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</si>
  <si>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</si>
  <si>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</si>
  <si>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</si>
  <si>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</si>
  <si>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</si>
  <si>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</si>
  <si>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</si>
  <si>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</si>
  <si>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</si>
  <si>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</si>
  <si>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</si>
  <si>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</si>
  <si>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</si>
  <si>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</si>
  <si>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</si>
  <si>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</si>
  <si>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</si>
  <si>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</si>
  <si>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</si>
  <si>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</si>
  <si>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</si>
  <si>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</si>
  <si>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</si>
  <si>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</si>
  <si>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</si>
  <si>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</si>
  <si>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</si>
  <si>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</si>
  <si>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</si>
  <si>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</si>
  <si>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</si>
  <si>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</si>
  <si>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</si>
  <si>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</si>
  <si>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</si>
  <si>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</si>
  <si>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</si>
  <si>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</si>
  <si>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</si>
  <si>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</si>
  <si>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</si>
  <si>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</si>
  <si>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</si>
  <si>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</si>
  <si>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</si>
  <si>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</si>
  <si>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</si>
  <si>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</si>
  <si>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</si>
  <si>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</si>
  <si>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</si>
  <si>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</si>
  <si>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</si>
  <si>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</si>
  <si>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</si>
  <si>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</si>
  <si>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</si>
  <si>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</si>
  <si>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</si>
  <si>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</si>
  <si>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</si>
  <si>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</si>
  <si>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</si>
  <si>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</si>
  <si>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</si>
  <si>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</si>
  <si>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</si>
  <si>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</si>
  <si>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</si>
  <si>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</si>
  <si>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</si>
  <si>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</si>
  <si>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</si>
  <si>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</si>
  <si>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</si>
  <si>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</si>
  <si>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</si>
  <si>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</si>
  <si>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</si>
  <si>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</si>
  <si>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</si>
  <si>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</si>
  <si>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</si>
  <si>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</si>
  <si>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</si>
  <si>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</si>
  <si>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</si>
  <si>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</si>
  <si>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</si>
  <si>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</si>
  <si>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</si>
  <si>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</si>
  <si>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</si>
  <si>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</si>
  <si>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</si>
  <si>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</si>
  <si>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</si>
  <si>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</si>
  <si>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</si>
  <si>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</si>
  <si>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</si>
  <si>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</si>
  <si>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</si>
  <si>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</si>
  <si>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</si>
  <si>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</si>
  <si>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</si>
  <si>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</si>
  <si>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</si>
  <si>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</si>
  <si>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</si>
  <si>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</si>
  <si>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</si>
  <si>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</si>
  <si>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</si>
  <si>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</si>
  <si>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</si>
  <si>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</si>
  <si>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</si>
  <si>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</si>
  <si>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</si>
  <si>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</si>
  <si>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</si>
  <si>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</si>
  <si>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</si>
  <si>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</si>
  <si>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</si>
  <si>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</si>
  <si>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</si>
  <si>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</si>
  <si>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</si>
  <si>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</si>
  <si>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</si>
  <si>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</si>
  <si>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</si>
  <si>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</si>
  <si>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</si>
  <si>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</si>
  <si>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</si>
  <si>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</si>
  <si>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</si>
  <si>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</si>
  <si>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</si>
  <si>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</si>
  <si>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</si>
  <si>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</si>
  <si>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</si>
  <si>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</si>
  <si>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</si>
  <si>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</si>
  <si>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</si>
  <si>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</si>
  <si>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</si>
  <si>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</si>
  <si>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</si>
  <si>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</si>
  <si>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</si>
  <si>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</si>
  <si>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</si>
  <si>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</si>
  <si>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</si>
  <si>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</si>
  <si>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</si>
  <si>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</si>
  <si>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</si>
  <si>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</si>
  <si>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</si>
  <si>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</si>
  <si>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</si>
  <si>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</si>
  <si>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</si>
  <si>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</si>
  <si>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</si>
  <si>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</si>
  <si>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</si>
  <si>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</si>
  <si>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</si>
  <si>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</si>
  <si>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</si>
  <si>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</si>
  <si>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</si>
  <si>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</si>
  <si>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</si>
  <si>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</si>
  <si>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</si>
  <si>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</si>
  <si>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</si>
  <si>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</si>
  <si>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</si>
  <si>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</si>
  <si>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</si>
  <si>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</si>
  <si>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</si>
  <si>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</si>
  <si>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</si>
  <si>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</si>
  <si>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</si>
  <si>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</si>
  <si>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</si>
  <si>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</si>
  <si>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</si>
  <si>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</si>
  <si>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</si>
  <si>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</si>
  <si>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</si>
  <si>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</si>
  <si>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</si>
  <si>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</si>
  <si>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</si>
  <si>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</si>
  <si>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</si>
  <si>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</si>
  <si>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</si>
  <si>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</si>
  <si>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</si>
  <si>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</si>
  <si>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</si>
  <si>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</si>
  <si>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</si>
  <si>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</si>
  <si>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</si>
  <si>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</si>
  <si>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</si>
  <si>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</si>
  <si>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</si>
  <si>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</si>
  <si>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</si>
  <si>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</si>
  <si>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</si>
  <si>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</si>
  <si>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</si>
  <si>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</si>
  <si>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</si>
  <si>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</si>
  <si>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</si>
  <si>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</si>
  <si>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</si>
  <si>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</si>
  <si>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</si>
  <si>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</si>
  <si>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</si>
  <si>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</si>
  <si>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</si>
  <si>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</si>
  <si>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</si>
  <si>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</si>
  <si>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</si>
  <si>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</si>
  <si>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</si>
  <si>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</si>
  <si>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</si>
  <si>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</si>
  <si>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</si>
  <si>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</si>
  <si>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</si>
  <si>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</si>
  <si>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</si>
  <si>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</si>
  <si>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</si>
  <si>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</si>
  <si>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</si>
  <si>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</si>
  <si>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</si>
  <si>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</si>
  <si>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</si>
  <si>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</si>
  <si>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</si>
  <si>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</si>
  <si>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</si>
  <si>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</si>
  <si>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</si>
  <si>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</si>
  <si>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</si>
  <si>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</si>
  <si>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</si>
  <si>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</si>
  <si>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</si>
  <si>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</si>
  <si>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</si>
  <si>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</si>
  <si>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</si>
  <si>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</si>
  <si>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</si>
  <si>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</si>
  <si>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</si>
  <si>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</si>
  <si>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</si>
  <si>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</si>
  <si>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</si>
  <si>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</si>
  <si>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</si>
  <si>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</si>
  <si>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</si>
  <si>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</si>
  <si>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</si>
  <si>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</si>
  <si>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</si>
  <si>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</si>
  <si>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</si>
  <si>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</si>
  <si>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</si>
  <si>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</si>
  <si>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</si>
  <si>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</si>
  <si>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</si>
  <si>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</si>
  <si>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</si>
  <si>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</si>
  <si>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</si>
  <si>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</si>
  <si>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</si>
  <si>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</si>
  <si>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</si>
  <si>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</si>
  <si>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</si>
  <si>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</si>
  <si>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</si>
  <si>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</si>
  <si>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</si>
  <si>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</si>
  <si>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</si>
  <si>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</si>
  <si>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</si>
  <si>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</si>
  <si>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</si>
  <si>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</si>
  <si>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</si>
  <si>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</si>
  <si>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</si>
  <si>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</si>
  <si>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</si>
  <si>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</si>
  <si>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</si>
  <si>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</si>
  <si>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</si>
  <si>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</si>
  <si>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</si>
  <si>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</si>
  <si>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</si>
  <si>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</si>
  <si>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</si>
  <si>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</si>
  <si>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</si>
  <si>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</si>
  <si>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</si>
  <si>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</si>
  <si>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</si>
  <si>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</si>
  <si>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</si>
  <si>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</si>
  <si>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</si>
  <si>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</si>
  <si>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</si>
  <si>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</si>
  <si>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</si>
  <si>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</si>
  <si>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</si>
  <si>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</si>
  <si>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</si>
  <si>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</si>
  <si>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</si>
  <si>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</si>
  <si>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</si>
  <si>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</si>
  <si>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</si>
  <si>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</si>
  <si>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</si>
  <si>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</si>
  <si>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</si>
  <si>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</si>
  <si>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</si>
  <si>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</si>
  <si>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</si>
  <si>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</si>
  <si>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</si>
  <si>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</si>
  <si>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</si>
  <si>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</si>
  <si>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</si>
  <si>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</si>
  <si>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</si>
  <si>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</si>
  <si>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</si>
  <si>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</si>
  <si>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</si>
  <si>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</si>
  <si>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</si>
  <si>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</si>
  <si>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</si>
  <si>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</si>
  <si>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</si>
  <si>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</si>
  <si>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</si>
  <si>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</si>
  <si>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</si>
  <si>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</si>
  <si>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</si>
  <si>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</si>
  <si>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</si>
  <si>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</si>
  <si>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</si>
  <si>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</si>
  <si>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</si>
  <si>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</si>
  <si>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</si>
  <si>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</si>
  <si>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</si>
  <si>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</si>
  <si>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</si>
  <si>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</si>
  <si>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</si>
  <si>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</si>
  <si>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</si>
  <si>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</si>
  <si>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</si>
  <si>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</si>
  <si>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</si>
  <si>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</si>
  <si>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</si>
  <si>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</si>
  <si>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</si>
  <si>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</si>
  <si>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</si>
  <si>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</si>
  <si>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</si>
  <si>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</si>
  <si>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</si>
  <si>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</si>
  <si>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</si>
  <si>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</si>
  <si>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</si>
  <si>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</si>
  <si>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</si>
  <si>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</si>
  <si>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</si>
  <si>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</si>
  <si>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</si>
  <si>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</si>
  <si>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</si>
  <si>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</si>
  <si>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</si>
  <si>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</si>
  <si>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</si>
  <si>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</si>
  <si>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</si>
  <si>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</si>
  <si>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</si>
  <si>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</si>
  <si>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</si>
  <si>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</si>
  <si>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</si>
  <si>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</si>
  <si>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</si>
  <si>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</si>
  <si>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</si>
  <si>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</si>
  <si>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</si>
  <si>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</si>
  <si>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</si>
  <si>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</si>
  <si>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</si>
  <si>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</si>
  <si>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</si>
  <si>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</si>
  <si>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</si>
  <si>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</si>
  <si>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</si>
  <si>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</si>
  <si>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</si>
  <si>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</si>
  <si>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</si>
  <si>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</si>
  <si>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</si>
  <si>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</si>
  <si>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</si>
  <si>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</si>
  <si>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</si>
  <si>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</si>
  <si>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</si>
  <si>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</si>
  <si>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</si>
  <si>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</si>
  <si>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</si>
  <si>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</si>
  <si>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</si>
  <si>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</si>
  <si>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</si>
  <si>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</si>
  <si>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</si>
  <si>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</si>
  <si>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</si>
  <si>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</si>
  <si>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</si>
  <si>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</si>
  <si>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</si>
  <si>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</si>
  <si>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</si>
  <si>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</si>
  <si>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</si>
  <si>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</si>
  <si>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</si>
  <si>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</si>
  <si>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</si>
  <si>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</si>
  <si>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</si>
  <si>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</si>
  <si>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</si>
  <si>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</si>
  <si>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</si>
  <si>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</si>
  <si>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</si>
  <si>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</si>
  <si>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</si>
  <si>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</si>
  <si>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</si>
  <si>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</si>
  <si>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</si>
  <si>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</si>
  <si>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</si>
  <si>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</si>
  <si>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</si>
  <si>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</si>
  <si>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</si>
  <si>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</si>
  <si>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</si>
  <si>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</si>
  <si>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</si>
  <si>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</si>
  <si>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</si>
  <si>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</si>
  <si>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</si>
  <si>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</si>
  <si>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</si>
  <si>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</si>
  <si>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</si>
  <si>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</si>
  <si>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</si>
  <si>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</si>
  <si>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</si>
  <si>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</si>
  <si>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</si>
  <si>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</si>
  <si>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</si>
  <si>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</si>
  <si>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</si>
  <si>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</si>
  <si>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</si>
  <si>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</si>
  <si>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</si>
  <si>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</si>
  <si>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</si>
  <si>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</si>
  <si>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</si>
  <si>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</si>
  <si>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</si>
  <si>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</si>
  <si>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</si>
  <si>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</si>
  <si>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</si>
  <si>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</si>
  <si>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</si>
  <si>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</si>
  <si>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</si>
  <si>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</si>
  <si>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</si>
  <si>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</si>
  <si>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</si>
  <si>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</si>
  <si>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</si>
  <si>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</si>
  <si>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</si>
  <si>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</si>
  <si>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</si>
  <si>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</si>
  <si>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</si>
  <si>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</si>
  <si>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</si>
  <si>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</si>
  <si>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</si>
  <si>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</si>
  <si>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</si>
  <si>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</si>
  <si>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</si>
  <si>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</si>
  <si>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</si>
  <si>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</si>
  <si>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</si>
  <si>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</si>
  <si>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</si>
  <si>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</si>
  <si>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</si>
  <si>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</si>
  <si>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</si>
  <si>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</si>
  <si>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</si>
  <si>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</si>
  <si>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</si>
  <si>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</si>
  <si>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</si>
  <si>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</si>
  <si>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</si>
  <si>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</si>
  <si>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</si>
  <si>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</si>
  <si>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</si>
  <si>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</si>
  <si>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</si>
  <si>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</si>
  <si>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</si>
  <si>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</si>
  <si>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</si>
  <si>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</si>
  <si>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</si>
  <si>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</si>
  <si>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</si>
  <si>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</si>
  <si>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</si>
  <si>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</si>
  <si>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</si>
  <si>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</si>
  <si>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</si>
  <si>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</si>
  <si>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</si>
  <si>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</si>
  <si>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</si>
  <si>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</si>
  <si>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</si>
  <si>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</si>
  <si>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</si>
  <si>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</si>
  <si>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</si>
  <si>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</si>
  <si>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</si>
  <si>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</si>
  <si>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</si>
  <si>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</si>
  <si>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</si>
  <si>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</si>
  <si>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</si>
  <si>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</si>
  <si>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</si>
  <si>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</si>
  <si>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</si>
  <si>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</si>
  <si>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</si>
  <si>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</si>
  <si>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</si>
  <si>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</si>
  <si>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</si>
  <si>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</si>
  <si>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</si>
  <si>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</si>
  <si>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</si>
  <si>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</si>
  <si>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</si>
  <si>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</si>
  <si>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</si>
  <si>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</si>
  <si>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</si>
  <si>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</si>
  <si>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</si>
  <si>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</si>
  <si>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</si>
  <si>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</si>
  <si>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</si>
  <si>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</si>
  <si>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</si>
  <si>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</si>
  <si>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</si>
  <si>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</si>
  <si>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</si>
  <si>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</si>
  <si>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</si>
  <si>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</si>
  <si>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</si>
  <si>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</si>
  <si>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</si>
  <si>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</si>
  <si>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</si>
  <si>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</si>
  <si>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</si>
  <si>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</si>
  <si>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</si>
  <si>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</si>
  <si>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</si>
  <si>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</si>
  <si>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</si>
  <si>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</si>
  <si>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</si>
  <si>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</si>
  <si>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</si>
  <si>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</si>
  <si>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</si>
  <si>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</si>
  <si>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</si>
  <si>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</si>
  <si>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</si>
  <si>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</si>
  <si>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</si>
  <si>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</si>
  <si>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</si>
  <si>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</si>
  <si>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</si>
  <si>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</si>
  <si>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</si>
  <si>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</si>
  <si>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</si>
  <si>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</si>
  <si>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</si>
  <si>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</si>
  <si>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</si>
  <si>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</si>
  <si>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</si>
  <si>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</si>
  <si>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</si>
  <si>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</si>
  <si>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</si>
  <si>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</si>
  <si>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</si>
  <si>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</si>
  <si>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</si>
  <si>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</si>
  <si>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</si>
  <si>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</si>
  <si>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</si>
  <si>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</si>
  <si>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</si>
  <si>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</si>
  <si>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</si>
  <si>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</si>
  <si>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</si>
  <si>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</si>
  <si>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</si>
  <si>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</si>
  <si>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</si>
  <si>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</si>
  <si>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</si>
  <si>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</si>
  <si>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</si>
  <si>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</si>
  <si>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</si>
  <si>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</si>
  <si>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</si>
  <si>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</si>
  <si>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</si>
  <si>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</si>
  <si>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</si>
  <si>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</si>
  <si>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</si>
  <si>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</si>
  <si>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</si>
  <si>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</si>
  <si>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</si>
  <si>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</si>
  <si>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</si>
  <si>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</si>
  <si>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</si>
  <si>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</si>
  <si>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</si>
  <si>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</si>
  <si>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</si>
  <si>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</si>
  <si>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</si>
  <si>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</si>
  <si>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</si>
  <si>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</si>
  <si>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</si>
  <si>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</si>
  <si>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</si>
  <si>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</si>
  <si>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</si>
  <si>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</si>
  <si>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</si>
  <si>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</si>
  <si>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</si>
  <si>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</si>
  <si>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</si>
  <si>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</si>
  <si>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</si>
  <si>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</si>
  <si>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</si>
  <si>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</si>
  <si>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</si>
  <si>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</si>
  <si>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</si>
  <si>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</si>
  <si>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</si>
  <si>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</si>
  <si>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</si>
  <si>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</si>
  <si>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</si>
  <si>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</si>
  <si>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</si>
  <si>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</si>
  <si>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</si>
  <si>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</si>
  <si>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</si>
  <si>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</si>
  <si>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</si>
  <si>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</si>
  <si>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</si>
  <si>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</si>
  <si>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</si>
  <si>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</si>
  <si>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</si>
  <si>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</si>
  <si>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</si>
  <si>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</si>
  <si>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</si>
  <si>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</si>
  <si>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</si>
  <si>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</si>
  <si>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</si>
  <si>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</si>
  <si>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</si>
  <si>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</si>
  <si>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</si>
  <si>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</si>
  <si>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</si>
  <si>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</si>
  <si>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</si>
  <si>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</si>
  <si>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</si>
  <si>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</si>
  <si>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</si>
  <si>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</si>
  <si>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</si>
  <si>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</si>
  <si>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</si>
  <si>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</si>
  <si>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</si>
  <si>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</si>
  <si>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</si>
  <si>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</si>
  <si>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</si>
  <si>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</si>
  <si>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</si>
  <si>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</si>
  <si>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</si>
  <si>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</si>
  <si>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</si>
  <si>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</si>
  <si>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</si>
  <si>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</si>
  <si>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</si>
  <si>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</si>
  <si>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</si>
  <si>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</si>
  <si>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</si>
  <si>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</si>
  <si>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</si>
  <si>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</si>
  <si>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</si>
  <si>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</si>
  <si>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</si>
  <si>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</si>
  <si>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</si>
  <si>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</si>
  <si>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</si>
  <si>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</si>
  <si>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</si>
  <si>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</si>
  <si>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</si>
  <si>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</si>
  <si>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</si>
  <si>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</si>
  <si>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</si>
  <si>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</si>
  <si>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</si>
  <si>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</si>
  <si>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</si>
  <si>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</si>
  <si>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</si>
  <si>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</si>
  <si>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</si>
  <si>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</si>
  <si>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</si>
  <si>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</si>
  <si>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</si>
  <si>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</si>
  <si>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</si>
  <si>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</si>
  <si>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</si>
  <si>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</si>
  <si>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</si>
  <si>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</si>
  <si>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</si>
  <si>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</si>
  <si>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</si>
  <si>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</si>
  <si>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</si>
  <si>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</si>
  <si>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</si>
  <si>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</si>
  <si>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</si>
  <si>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</si>
  <si>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</si>
  <si>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</si>
  <si>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</si>
  <si>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</si>
  <si>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</si>
  <si>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</si>
  <si>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</si>
  <si>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</si>
  <si>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</si>
  <si>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</si>
  <si>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</si>
  <si>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</si>
  <si>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</si>
  <si>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</si>
  <si>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</si>
  <si>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</si>
  <si>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</si>
  <si>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</si>
  <si>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</si>
  <si>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</si>
  <si>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</si>
  <si>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</si>
  <si>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</si>
  <si>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</si>
  <si>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</si>
  <si>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</si>
  <si>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</si>
  <si>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</si>
  <si>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</si>
  <si>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</si>
  <si>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</si>
  <si>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</si>
  <si>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</si>
  <si>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</si>
  <si>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</si>
  <si>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</si>
  <si>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</si>
  <si>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</si>
  <si>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</si>
  <si>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</si>
  <si>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</si>
  <si>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</si>
  <si>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</si>
  <si>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</si>
  <si>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</si>
  <si>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</si>
  <si>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</si>
  <si>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</si>
  <si>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</si>
  <si>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</si>
  <si>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</si>
  <si>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</si>
  <si>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</si>
  <si>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</si>
  <si>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</si>
  <si>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</si>
  <si>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</si>
  <si>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</si>
  <si>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</si>
  <si>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</si>
  <si>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</si>
  <si>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</si>
  <si>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</si>
  <si>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</si>
  <si>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</si>
  <si>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</si>
  <si>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</si>
  <si>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</si>
  <si>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</si>
  <si>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</si>
  <si>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</si>
  <si>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</si>
  <si>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</si>
  <si>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</si>
  <si>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</si>
  <si>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</si>
  <si>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</si>
  <si>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</si>
  <si>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</si>
  <si>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</si>
  <si>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</si>
  <si>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</si>
  <si>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</si>
  <si>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</si>
  <si>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</si>
  <si>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</si>
  <si>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</si>
  <si>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</si>
  <si>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</si>
  <si>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</si>
  <si>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</si>
  <si>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</si>
  <si>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</si>
  <si>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</si>
  <si>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</si>
  <si>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</si>
  <si>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</si>
  <si>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</si>
  <si>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</si>
  <si>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</si>
  <si>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</si>
  <si>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</si>
  <si>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</si>
  <si>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</si>
  <si>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</si>
  <si>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</si>
  <si>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</si>
  <si>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</si>
  <si>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</si>
  <si>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</si>
  <si>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</si>
  <si>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</si>
  <si>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</si>
  <si>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</si>
  <si>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</si>
  <si>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</si>
  <si>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</si>
  <si>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</si>
  <si>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</si>
  <si>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</si>
  <si>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</si>
  <si>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</si>
  <si>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</si>
  <si>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</si>
  <si>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</si>
  <si>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</si>
  <si>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</si>
  <si>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</si>
  <si>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</si>
  <si>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</si>
  <si>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</si>
  <si>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</si>
  <si>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</si>
  <si>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</si>
  <si>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</si>
  <si>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</si>
  <si>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</si>
  <si>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</si>
  <si>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</si>
  <si>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</si>
  <si>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</si>
  <si>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</si>
  <si>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</si>
  <si>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</si>
  <si>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</si>
  <si>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</si>
  <si>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</si>
  <si>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</si>
  <si>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</si>
  <si>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</si>
  <si>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</si>
  <si>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</si>
  <si>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</si>
  <si>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</si>
  <si>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</si>
  <si>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</si>
  <si>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</si>
  <si>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</si>
  <si>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</si>
  <si>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</si>
  <si>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</si>
  <si>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</si>
  <si>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</si>
  <si>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</si>
  <si>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</si>
  <si>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</si>
  <si>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</si>
  <si>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</si>
  <si>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</si>
  <si>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</si>
  <si>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</si>
  <si>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</si>
  <si>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</si>
  <si>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</si>
  <si>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</si>
  <si>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</si>
  <si>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</si>
  <si>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</si>
  <si>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</si>
  <si>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</si>
  <si>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</si>
  <si>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</si>
  <si>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</si>
  <si>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</si>
  <si>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</si>
  <si>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</si>
  <si>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</si>
  <si>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</si>
  <si>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</si>
  <si>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</si>
  <si>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</si>
  <si>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</si>
  <si>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</si>
  <si>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</si>
  <si>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</si>
  <si>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</si>
  <si>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</si>
  <si>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</si>
  <si>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</si>
  <si>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</si>
  <si>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</si>
  <si>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</si>
  <si>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</si>
  <si>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</si>
  <si>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</si>
  <si>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</si>
  <si>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</si>
  <si>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</si>
  <si>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</si>
  <si>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</si>
  <si>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</si>
  <si>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</si>
  <si>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</si>
  <si>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</si>
  <si>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</si>
  <si>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</si>
  <si>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</si>
  <si>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</si>
  <si>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</si>
  <si>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</si>
  <si>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</si>
  <si>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</si>
  <si>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</si>
  <si>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</si>
  <si>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</si>
  <si>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</si>
  <si>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</si>
  <si>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</si>
  <si>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</si>
  <si>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</si>
  <si>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</si>
  <si>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</si>
  <si>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</si>
  <si>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</si>
  <si>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</si>
  <si>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</si>
  <si>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</si>
  <si>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</si>
  <si>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</si>
  <si>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</si>
  <si>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</si>
  <si>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</si>
  <si>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</si>
  <si>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</si>
  <si>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</si>
  <si>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</si>
  <si>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</si>
  <si>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</si>
  <si>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</si>
  <si>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</si>
  <si>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</si>
  <si>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</si>
  <si>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</si>
  <si>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</si>
  <si>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</si>
  <si>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</si>
  <si>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</si>
  <si>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</si>
  <si>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</si>
  <si>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</si>
  <si>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</si>
  <si>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</si>
  <si>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</si>
  <si>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</si>
  <si>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</si>
  <si>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</si>
  <si>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</si>
  <si>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</si>
  <si>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</si>
  <si>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</si>
  <si>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</si>
  <si>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</si>
  <si>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</si>
  <si>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</si>
  <si>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</si>
  <si>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</si>
  <si>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</si>
  <si>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</si>
  <si>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</si>
  <si>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</si>
  <si>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</si>
  <si>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</si>
  <si>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</si>
  <si>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</si>
  <si>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</si>
  <si>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</si>
  <si>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</si>
  <si>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</si>
  <si>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</si>
  <si>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</si>
  <si>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</si>
  <si>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</si>
  <si>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</si>
  <si>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</si>
  <si>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</si>
  <si>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</si>
  <si>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</si>
  <si>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</si>
  <si>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</si>
  <si>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</si>
  <si>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</si>
  <si>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</si>
  <si>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</si>
  <si>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</si>
  <si>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</si>
  <si>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</si>
  <si>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</si>
  <si>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</si>
  <si>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</si>
  <si>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</si>
  <si>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</si>
  <si>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</si>
  <si>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</si>
  <si>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</si>
  <si>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</si>
  <si>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</si>
  <si>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</si>
  <si>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</si>
  <si>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</si>
  <si>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</si>
  <si>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</si>
  <si>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</si>
  <si>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</si>
  <si>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</si>
  <si>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</si>
  <si>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</si>
  <si>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</si>
  <si>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</si>
  <si>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</si>
  <si>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</si>
  <si>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</si>
  <si>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</si>
  <si>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</si>
  <si>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</si>
  <si>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</si>
  <si>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</si>
  <si>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</si>
  <si>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</si>
  <si>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</si>
  <si>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</si>
  <si>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</si>
  <si>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</si>
  <si>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</si>
  <si>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</si>
  <si>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</si>
  <si>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</si>
  <si>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</si>
  <si>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</si>
  <si>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</si>
  <si>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</si>
  <si>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</si>
  <si>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</si>
  <si>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</si>
  <si>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</si>
  <si>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</si>
  <si>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</si>
  <si>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</si>
  <si>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</si>
  <si>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</si>
  <si>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</si>
  <si>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</si>
  <si>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</si>
  <si>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</si>
  <si>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</si>
  <si>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</si>
  <si>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</si>
  <si>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</si>
  <si>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</si>
  <si>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</si>
  <si>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</si>
  <si>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</si>
  <si>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</si>
  <si>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</si>
  <si>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</si>
  <si>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</si>
  <si>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</si>
  <si>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</si>
  <si>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</si>
  <si>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</si>
  <si>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</si>
  <si>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</si>
  <si>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</si>
  <si>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</si>
  <si>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</si>
  <si>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</si>
  <si>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</si>
  <si>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</si>
  <si>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</si>
  <si>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</si>
  <si>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</si>
  <si>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</si>
  <si>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</si>
  <si>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</si>
  <si>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</si>
  <si>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</si>
  <si>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</si>
  <si>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</si>
  <si>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</si>
  <si>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</si>
  <si>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</si>
  <si>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</si>
  <si>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</si>
  <si>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</si>
  <si>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</si>
  <si>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</si>
  <si>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</si>
  <si>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</si>
  <si>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</si>
  <si>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</si>
  <si>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</si>
  <si>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</si>
  <si>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</si>
  <si>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</si>
  <si>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</si>
  <si>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</si>
  <si>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</si>
  <si>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</si>
  <si>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</si>
  <si>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</si>
  <si>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</si>
  <si>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</si>
  <si>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</si>
  <si>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</si>
  <si>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</si>
  <si>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</si>
  <si>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</si>
  <si>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</si>
  <si>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</si>
  <si>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</si>
  <si>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</si>
  <si>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</si>
  <si>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</si>
  <si>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</si>
  <si>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</si>
  <si>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</si>
  <si>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</si>
  <si>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</si>
  <si>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</si>
  <si>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</si>
  <si>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</si>
  <si>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</si>
  <si>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</si>
  <si>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</si>
  <si>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</si>
  <si>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</si>
  <si>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</si>
  <si>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</si>
  <si>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</si>
  <si>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</si>
  <si>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</si>
  <si>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</si>
  <si>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</si>
  <si>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</si>
  <si>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</si>
  <si>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</si>
  <si>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</si>
  <si>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</si>
  <si>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</si>
  <si>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</si>
  <si>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</si>
  <si>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</si>
  <si>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</si>
  <si>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</si>
  <si>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</si>
  <si>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</si>
  <si>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</si>
  <si>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</si>
  <si>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</si>
  <si>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</si>
  <si>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</si>
  <si>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</si>
  <si>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</si>
  <si>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</si>
  <si>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</si>
  <si>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</si>
  <si>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</si>
  <si>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</si>
  <si>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</si>
  <si>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</si>
  <si>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</si>
  <si>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</si>
  <si>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</si>
  <si>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</si>
  <si>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</si>
  <si>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</si>
  <si>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</si>
  <si>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</si>
  <si>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</si>
  <si>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</si>
  <si>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</si>
  <si>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</si>
  <si>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</si>
  <si>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</si>
  <si>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</si>
  <si>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</si>
  <si>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</si>
  <si>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</si>
  <si>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</si>
  <si>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</si>
  <si>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</si>
  <si>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</si>
  <si>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</si>
  <si>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</si>
  <si>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</si>
  <si>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</si>
  <si>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</si>
  <si>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</si>
  <si>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</si>
  <si>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</si>
  <si>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</si>
  <si>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</si>
  <si>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</si>
  <si>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</si>
  <si>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</si>
  <si>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</si>
  <si>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</si>
  <si>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</si>
  <si>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</si>
  <si>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</si>
  <si>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</si>
  <si>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</si>
  <si>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</si>
  <si>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</si>
  <si>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</si>
  <si>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</si>
  <si>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</si>
  <si>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</si>
  <si>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</si>
  <si>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</si>
  <si>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</si>
  <si>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</si>
  <si>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</si>
  <si>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</si>
  <si>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</si>
  <si>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</si>
  <si>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</si>
  <si>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</si>
  <si>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</si>
  <si>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</si>
  <si>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</si>
  <si>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</si>
  <si>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</si>
  <si>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</si>
  <si>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</si>
  <si>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</si>
  <si>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</si>
  <si>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</si>
  <si>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</si>
  <si>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</si>
  <si>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</si>
  <si>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</si>
  <si>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</si>
  <si>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</si>
  <si>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</si>
  <si>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</si>
  <si>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</si>
  <si>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</si>
  <si>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</si>
  <si>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</si>
  <si>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</si>
  <si>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</si>
  <si>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</si>
  <si>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</si>
  <si>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</si>
  <si>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</si>
  <si>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</si>
  <si>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</si>
  <si>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</si>
  <si>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</si>
  <si>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</si>
  <si>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</si>
  <si>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</si>
  <si>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</si>
  <si>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</si>
  <si>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</si>
  <si>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</si>
  <si>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</si>
  <si>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</si>
  <si>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</si>
  <si>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</si>
  <si>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</si>
  <si>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</si>
  <si>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</si>
  <si>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</si>
  <si>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</si>
  <si>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</si>
  <si>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</si>
  <si>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</si>
  <si>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</si>
  <si>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</si>
  <si>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</si>
  <si>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</si>
  <si>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</si>
  <si>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</si>
  <si>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</si>
  <si>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</si>
  <si>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</si>
  <si>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</si>
  <si>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</si>
  <si>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</si>
  <si>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</si>
  <si>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</si>
  <si>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</si>
  <si>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</si>
  <si>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</si>
  <si>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</si>
  <si>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</si>
  <si>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</si>
  <si>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</si>
  <si>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</si>
  <si>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</si>
  <si>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</si>
  <si>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</si>
  <si>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</si>
  <si>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</si>
  <si>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</si>
  <si>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</si>
  <si>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</si>
  <si>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</si>
  <si>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</si>
  <si>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</si>
  <si>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</si>
  <si>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</si>
  <si>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</si>
  <si>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</si>
  <si>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</si>
  <si>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</si>
  <si>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</si>
  <si>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</si>
  <si>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</si>
  <si>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</si>
  <si>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</si>
  <si>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</si>
  <si>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</si>
  <si>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</si>
  <si>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</si>
  <si>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</si>
  <si>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</si>
  <si>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</si>
  <si>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</si>
  <si>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</si>
  <si>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</si>
  <si>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</si>
  <si>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</si>
  <si>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</si>
  <si>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</si>
  <si>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</si>
  <si>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</si>
  <si>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</si>
  <si>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</si>
  <si>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</si>
  <si>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</si>
  <si>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</si>
  <si>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</si>
  <si>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</si>
  <si>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</si>
  <si>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</si>
  <si>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</si>
  <si>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</si>
  <si>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</si>
  <si>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</si>
  <si>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</si>
  <si>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</si>
  <si>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</si>
  <si>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</si>
  <si>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</si>
  <si>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</si>
  <si>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</si>
  <si>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</si>
  <si>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</si>
  <si>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</si>
  <si>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</si>
  <si>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</si>
  <si>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</si>
  <si>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</si>
  <si>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</si>
  <si>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</si>
  <si>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</si>
  <si>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</si>
  <si>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</si>
  <si>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</si>
  <si>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</si>
  <si>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</si>
  <si>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</si>
  <si>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</si>
  <si>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</si>
  <si>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</si>
  <si>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</si>
  <si>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</si>
  <si>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</si>
  <si>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</si>
  <si>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</si>
  <si>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</si>
  <si>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</si>
  <si>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</si>
  <si>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</si>
  <si>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</si>
  <si>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</si>
  <si>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</si>
  <si>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</si>
  <si>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</si>
  <si>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</si>
  <si>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</si>
  <si>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</si>
  <si>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</si>
  <si>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</si>
  <si>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</si>
  <si>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</si>
  <si>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</si>
  <si>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</si>
  <si>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</si>
  <si>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</si>
  <si>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</si>
  <si>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</si>
  <si>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</si>
  <si>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</si>
  <si>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</si>
  <si>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</si>
  <si>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</si>
  <si>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</si>
  <si>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</si>
  <si>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</si>
  <si>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</si>
  <si>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</si>
  <si>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</si>
  <si>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</si>
  <si>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</si>
  <si>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</si>
  <si>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</si>
  <si>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</si>
  <si>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</si>
  <si>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</si>
  <si>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</si>
  <si>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</si>
  <si>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</si>
  <si>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</si>
  <si>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</si>
  <si>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</si>
  <si>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</si>
  <si>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</si>
  <si>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</si>
  <si>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</si>
  <si>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</si>
  <si>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</si>
  <si>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</si>
  <si>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</si>
  <si>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</si>
  <si>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</si>
  <si>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</si>
  <si>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</si>
  <si>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</si>
  <si>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</si>
  <si>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</si>
  <si>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</si>
  <si>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</si>
  <si>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</si>
  <si>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</si>
  <si>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</si>
  <si>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</si>
  <si>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</si>
  <si>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</si>
  <si>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</si>
  <si>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</si>
  <si>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</si>
  <si>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</si>
  <si>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</si>
  <si>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</si>
  <si>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</si>
  <si>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</si>
  <si>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</si>
  <si>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</si>
  <si>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</si>
  <si>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</si>
  <si>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</si>
  <si>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</si>
  <si>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</si>
  <si>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</si>
  <si>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</si>
  <si>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</si>
  <si>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</si>
  <si>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</si>
  <si>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</si>
  <si>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</si>
  <si>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</si>
  <si>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</si>
  <si>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</si>
  <si>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</si>
  <si>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</si>
  <si>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</si>
  <si>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</si>
  <si>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</si>
  <si>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</si>
  <si>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</si>
  <si>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</si>
  <si>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</si>
  <si>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</si>
  <si>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</si>
  <si>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</si>
  <si>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</si>
  <si>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</si>
  <si>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</si>
  <si>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</si>
  <si>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</si>
  <si>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</si>
  <si>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</si>
  <si>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</si>
  <si>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</si>
  <si>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</si>
  <si>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</si>
  <si>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</si>
  <si>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</si>
  <si>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</si>
  <si>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</si>
  <si>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</si>
  <si>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</si>
  <si>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</si>
  <si>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</si>
  <si>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</si>
  <si>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</si>
  <si>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</si>
  <si>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</si>
  <si>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</si>
  <si>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</si>
  <si>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</si>
  <si>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</si>
  <si>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</si>
  <si>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</si>
  <si>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</si>
  <si>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</si>
  <si>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</si>
  <si>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</si>
  <si>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</si>
  <si>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</si>
  <si>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</si>
  <si>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</si>
  <si>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</si>
  <si>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</si>
  <si>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</si>
  <si>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</si>
  <si>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</si>
  <si>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</si>
  <si>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</si>
  <si>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</si>
  <si>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</si>
  <si>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</si>
  <si>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</si>
  <si>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</si>
  <si>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</si>
  <si>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</si>
  <si>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</si>
  <si>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</si>
  <si>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</si>
  <si>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</si>
  <si>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</si>
  <si>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</si>
  <si>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</si>
  <si>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</si>
  <si>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</si>
  <si>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</si>
  <si>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</si>
  <si>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</si>
  <si>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</si>
  <si>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</si>
  <si>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</si>
  <si>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</si>
  <si>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</si>
  <si>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</si>
  <si>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</si>
  <si>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</si>
  <si>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</si>
  <si>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</si>
  <si>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</si>
  <si>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</si>
  <si>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</si>
  <si>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</si>
  <si>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</si>
  <si>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</si>
  <si>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</si>
  <si>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</si>
  <si>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</si>
  <si>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</si>
  <si>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</si>
  <si>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</si>
  <si>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</si>
  <si>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</si>
  <si>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</si>
  <si>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</si>
  <si>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</si>
  <si>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</si>
  <si>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</si>
  <si>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</si>
  <si>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</si>
  <si>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</si>
  <si>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</si>
  <si>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</si>
  <si>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</si>
  <si>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</si>
  <si>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</si>
  <si>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</si>
  <si>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</si>
  <si>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</si>
  <si>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</si>
  <si>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</si>
  <si>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</si>
  <si>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</si>
  <si>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</si>
  <si>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</si>
  <si>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</si>
  <si>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</si>
  <si>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</si>
  <si>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</si>
  <si>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</si>
  <si>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</si>
  <si>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</si>
  <si>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</si>
  <si>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</si>
  <si>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</si>
  <si>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</si>
  <si>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</si>
  <si>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</si>
  <si>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</si>
  <si>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</si>
  <si>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</si>
  <si>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</si>
  <si>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</si>
  <si>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</si>
  <si>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</si>
  <si>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</si>
  <si>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</si>
  <si>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</si>
  <si>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</si>
  <si>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</si>
  <si>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</si>
  <si>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</si>
  <si>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</si>
  <si>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</si>
  <si>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</si>
  <si>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</si>
  <si>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</si>
  <si>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</si>
  <si>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</si>
  <si>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</si>
  <si>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</si>
  <si>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</si>
  <si>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</si>
  <si>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</si>
  <si>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</si>
  <si>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</si>
  <si>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</si>
  <si>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</si>
  <si>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</si>
  <si>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</si>
  <si>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</si>
  <si>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</si>
  <si>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</si>
  <si>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</si>
  <si>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</si>
  <si>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</si>
  <si>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</si>
  <si>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</si>
  <si>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</si>
  <si>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</si>
  <si>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</si>
  <si>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</si>
  <si>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</si>
  <si>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</si>
  <si>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</si>
  <si>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</si>
  <si>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</si>
  <si>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</si>
  <si>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</si>
  <si>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</si>
  <si>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</si>
  <si>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</si>
  <si>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</si>
  <si>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</si>
  <si>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</si>
  <si>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</si>
  <si>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</si>
  <si>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</si>
  <si>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</si>
  <si>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</si>
  <si>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</si>
  <si>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</si>
  <si>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</si>
  <si>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</si>
  <si>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</si>
  <si>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</si>
  <si>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</si>
  <si>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</si>
  <si>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</si>
  <si>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</si>
  <si>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</si>
  <si>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</si>
  <si>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</si>
  <si>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</si>
  <si>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</si>
  <si>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</si>
  <si>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</si>
  <si>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</si>
  <si>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</si>
  <si>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</si>
  <si>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</si>
  <si>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</si>
  <si>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</si>
  <si>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</si>
  <si>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</si>
  <si>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</si>
  <si>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</si>
  <si>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</si>
  <si>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</si>
  <si>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</si>
  <si>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</si>
  <si>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</si>
  <si>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</si>
  <si>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</si>
  <si>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</si>
  <si>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</si>
  <si>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</si>
  <si>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</si>
  <si>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</si>
  <si>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</si>
  <si>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</si>
  <si>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</si>
  <si>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</si>
  <si>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</si>
  <si>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</si>
  <si>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</si>
  <si>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</si>
  <si>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</si>
  <si>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</si>
  <si>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</si>
  <si>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</si>
  <si>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</si>
  <si>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</si>
  <si>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</si>
  <si>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</si>
  <si>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</si>
  <si>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</si>
  <si>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</si>
  <si>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</si>
  <si>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</si>
  <si>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</si>
  <si>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</si>
  <si>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</si>
  <si>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</si>
  <si>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</si>
  <si>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</si>
  <si>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</si>
  <si>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</si>
  <si>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</si>
  <si>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</si>
  <si>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</si>
  <si>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</si>
  <si>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</si>
  <si>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</si>
  <si>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</si>
  <si>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</si>
  <si>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</si>
  <si>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</si>
  <si>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</si>
  <si>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</si>
  <si>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</si>
  <si>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</si>
  <si>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</si>
  <si>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</si>
  <si>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</si>
  <si>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</si>
  <si>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</si>
  <si>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</si>
  <si>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</si>
  <si>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</si>
  <si>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</si>
  <si>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</si>
  <si>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</si>
  <si>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</si>
  <si>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</si>
  <si>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</si>
  <si>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</si>
  <si>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</si>
  <si>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</si>
  <si>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</si>
  <si>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</si>
  <si>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</si>
  <si>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</si>
  <si>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</si>
  <si>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</si>
  <si>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</si>
  <si>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</si>
  <si>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</si>
  <si>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</si>
  <si>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</si>
  <si>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</si>
  <si>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</si>
  <si>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</si>
  <si>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</si>
  <si>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</si>
  <si>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</si>
  <si>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</si>
  <si>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</si>
  <si>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</si>
  <si>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</si>
  <si>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</si>
  <si>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</si>
  <si>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</si>
  <si>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</si>
  <si>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</si>
  <si>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</si>
  <si>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</si>
  <si>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</si>
  <si>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</si>
  <si>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</si>
  <si>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</si>
  <si>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</si>
  <si>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</si>
  <si>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</si>
  <si>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</si>
  <si>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</si>
  <si>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</si>
  <si>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</si>
  <si>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</si>
  <si>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</si>
  <si>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</si>
  <si>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</si>
  <si>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</si>
  <si>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</si>
  <si>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</si>
  <si>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</si>
  <si>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</si>
  <si>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</si>
  <si>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</si>
  <si>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</si>
  <si>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</si>
  <si>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</si>
  <si>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</si>
  <si>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</si>
  <si>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</si>
  <si>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</si>
  <si>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</si>
  <si>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</si>
  <si>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</si>
  <si>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</si>
  <si>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</si>
  <si>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</si>
  <si>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</si>
  <si>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</si>
  <si>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</si>
  <si>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</si>
  <si>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</si>
  <si>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</si>
  <si>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</si>
  <si>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</si>
  <si>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</si>
  <si>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</si>
  <si>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</si>
  <si>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</si>
  <si>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</si>
  <si>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</si>
  <si>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</si>
  <si>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</si>
  <si>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</si>
  <si>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</si>
  <si>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</si>
  <si>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</si>
  <si>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</si>
  <si>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</si>
  <si>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</si>
  <si>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</si>
  <si>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</si>
  <si>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</si>
  <si>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</si>
  <si>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</si>
  <si>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</si>
  <si>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</si>
  <si>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</si>
  <si>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</si>
  <si>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</si>
  <si>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</si>
  <si>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</si>
  <si>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</si>
  <si>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</si>
  <si>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</si>
  <si>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</si>
  <si>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</si>
  <si>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</si>
  <si>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</si>
  <si>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</si>
  <si>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</si>
  <si>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</si>
  <si>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</si>
  <si>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</si>
  <si>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</si>
  <si>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</si>
  <si>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</si>
  <si>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</si>
  <si>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</si>
  <si>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</si>
  <si>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</si>
  <si>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</si>
  <si>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</si>
  <si>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</si>
  <si>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</si>
  <si>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</si>
  <si>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</si>
  <si>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</si>
  <si>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</si>
  <si>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</si>
  <si>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</si>
  <si>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</si>
  <si>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</si>
  <si>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</si>
  <si>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</si>
  <si>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</si>
  <si>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</si>
  <si>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</si>
  <si>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</si>
  <si>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</si>
  <si>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</si>
  <si>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</si>
  <si>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</si>
  <si>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</si>
  <si>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</si>
  <si>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</si>
  <si>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</si>
  <si>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</si>
  <si>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</si>
  <si>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</si>
  <si>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</si>
  <si>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</si>
  <si>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</si>
  <si>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</si>
  <si>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</si>
  <si>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</si>
  <si>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</si>
  <si>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</si>
  <si>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</si>
  <si>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</si>
  <si>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</si>
  <si>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</si>
  <si>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</si>
  <si>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</si>
  <si>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</si>
  <si>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</si>
  <si>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</si>
  <si>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</si>
  <si>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</si>
  <si>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</si>
  <si>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</si>
  <si>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</si>
  <si>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</si>
  <si>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</si>
  <si>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</si>
  <si>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</si>
  <si>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</si>
  <si>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</si>
  <si>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</si>
  <si>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</si>
  <si>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</si>
  <si>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</si>
  <si>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</si>
  <si>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</si>
  <si>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</si>
  <si>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</si>
  <si>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</si>
  <si>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</si>
  <si>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</si>
  <si>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</si>
  <si>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</si>
  <si>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</si>
  <si>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</si>
  <si>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</si>
  <si>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</si>
  <si>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</si>
  <si>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</si>
  <si>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</si>
  <si>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</si>
  <si>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</si>
  <si>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</si>
  <si>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</si>
  <si>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</si>
  <si>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</si>
  <si>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</si>
  <si>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</si>
  <si>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</si>
  <si>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</si>
  <si>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</si>
  <si>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</si>
  <si>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</si>
  <si>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</si>
  <si>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</si>
  <si>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</si>
  <si>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</si>
  <si>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</si>
  <si>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</si>
  <si>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</si>
  <si>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</si>
  <si>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</si>
  <si>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</si>
  <si>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</si>
  <si>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</si>
  <si>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</si>
  <si>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</si>
  <si>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</si>
  <si>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</si>
  <si>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</si>
  <si>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</si>
  <si>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</si>
  <si>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</si>
  <si>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</si>
  <si>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</si>
  <si>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</si>
  <si>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</si>
  <si>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</si>
  <si>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</si>
  <si>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</si>
  <si>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</si>
  <si>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</si>
  <si>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</si>
  <si>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</si>
  <si>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</si>
  <si>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</si>
  <si>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</si>
  <si>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</si>
  <si>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</si>
  <si>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</si>
  <si>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</si>
  <si>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</si>
  <si>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</si>
  <si>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</si>
  <si>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</si>
  <si>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</si>
  <si>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</si>
  <si>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</si>
  <si>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</si>
  <si>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</si>
  <si>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</si>
  <si>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</si>
  <si>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</si>
  <si>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</si>
  <si>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</si>
  <si>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</si>
  <si>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</si>
  <si>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</si>
  <si>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</si>
  <si>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</si>
  <si>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</si>
  <si>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</si>
  <si>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</si>
  <si>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</si>
  <si>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</si>
  <si>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</si>
  <si>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</si>
  <si>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</si>
  <si>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</si>
  <si>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</si>
  <si>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</si>
  <si>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</si>
  <si>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</si>
  <si>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</si>
  <si>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</si>
  <si>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</si>
  <si>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</si>
  <si>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</si>
  <si>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</si>
  <si>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</si>
  <si>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</si>
  <si>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</si>
  <si>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</si>
  <si>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</si>
  <si>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</si>
  <si>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</si>
  <si>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</si>
  <si>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</si>
  <si>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</si>
  <si>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</si>
  <si>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</si>
  <si>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</si>
  <si>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</si>
  <si>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</si>
  <si>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</si>
  <si>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</si>
  <si>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</si>
  <si>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</si>
  <si>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</si>
  <si>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</si>
  <si>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</si>
  <si>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</si>
  <si>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</si>
  <si>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</si>
  <si>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</si>
  <si>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</si>
  <si>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</si>
  <si>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</si>
  <si>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</si>
  <si>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</si>
  <si>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</si>
  <si>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</si>
  <si>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</si>
  <si>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</si>
  <si>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</si>
  <si>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</si>
  <si>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</si>
  <si>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</si>
  <si>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</si>
  <si>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</si>
  <si>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</si>
  <si>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</si>
  <si>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</si>
  <si>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</si>
  <si>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</si>
  <si>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</si>
  <si>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</si>
  <si>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</si>
  <si>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</si>
  <si>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</si>
  <si>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</si>
  <si>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</si>
  <si>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</si>
  <si>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</si>
  <si>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</si>
  <si>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</si>
  <si>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</si>
  <si>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</si>
  <si>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</si>
  <si>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</si>
  <si>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</si>
  <si>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</si>
  <si>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</si>
  <si>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</si>
  <si>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</si>
  <si>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</si>
  <si>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</si>
  <si>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</si>
  <si>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</si>
  <si>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</si>
  <si>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</si>
  <si>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</si>
  <si>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</si>
  <si>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</si>
  <si>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</si>
  <si>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</si>
  <si>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</si>
  <si>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</si>
  <si>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</si>
  <si>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</si>
  <si>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</si>
  <si>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</si>
  <si>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</si>
  <si>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</si>
  <si>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</si>
  <si>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</si>
  <si>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</si>
  <si>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</si>
  <si>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</si>
  <si>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</si>
  <si>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</si>
  <si>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</si>
  <si>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</si>
  <si>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</si>
  <si>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</si>
  <si>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</si>
  <si>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</si>
  <si>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</si>
  <si>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</si>
  <si>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</si>
  <si>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</si>
  <si>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</si>
  <si>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</si>
  <si>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</si>
  <si>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</si>
  <si>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</si>
  <si>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</si>
  <si>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</si>
  <si>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</si>
  <si>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</si>
  <si>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</si>
  <si>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</si>
  <si>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</si>
  <si>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</si>
  <si>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</si>
  <si>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</si>
  <si>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</si>
  <si>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</si>
  <si>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</si>
  <si>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</si>
  <si>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</si>
  <si>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</si>
  <si>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</si>
  <si>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</si>
  <si>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</si>
  <si>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</si>
  <si>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</si>
  <si>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</si>
  <si>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</si>
  <si>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</si>
  <si>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</si>
  <si>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</si>
  <si>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</si>
  <si>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</si>
  <si>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</si>
  <si>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</si>
  <si>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</si>
  <si>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</si>
  <si>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</si>
  <si>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</si>
  <si>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</si>
  <si>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</si>
  <si>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</si>
  <si>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</si>
  <si>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</si>
  <si>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</si>
  <si>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</si>
  <si>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</si>
  <si>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</si>
  <si>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</si>
  <si>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</si>
  <si>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</si>
  <si>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</si>
  <si>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</si>
  <si>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</si>
  <si>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</si>
  <si>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</si>
  <si>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</si>
  <si>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</si>
  <si>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</si>
  <si>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</si>
  <si>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</si>
  <si>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</si>
  <si>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</si>
  <si>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</si>
  <si>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</si>
  <si>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</si>
  <si>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</si>
  <si>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</si>
  <si>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</si>
  <si>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</si>
  <si>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</si>
  <si>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</si>
  <si>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</si>
  <si>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</si>
  <si>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</si>
  <si>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</si>
  <si>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</si>
  <si>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</si>
  <si>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</si>
  <si>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</si>
  <si>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</si>
  <si>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</si>
  <si>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</si>
  <si>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</si>
  <si>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</si>
  <si>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</si>
  <si>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</si>
  <si>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</si>
  <si>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</si>
  <si>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</si>
  <si>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</si>
  <si>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</si>
  <si>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</si>
  <si>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</si>
  <si>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</si>
  <si>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</si>
  <si>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</si>
  <si>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</si>
  <si>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</si>
  <si>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</si>
  <si>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</si>
  <si>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</si>
  <si>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</si>
  <si>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</si>
  <si>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</si>
  <si>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</si>
  <si>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</si>
  <si>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</si>
  <si>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</si>
  <si>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</si>
  <si>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</si>
  <si>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</si>
  <si>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</si>
  <si>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</si>
  <si>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</si>
  <si>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</si>
  <si>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</si>
  <si>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</si>
  <si>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</si>
  <si>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</si>
  <si>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</si>
  <si>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</si>
  <si>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</si>
  <si>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</si>
  <si>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</si>
  <si>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</si>
  <si>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</si>
  <si>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</si>
  <si>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</si>
  <si>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</si>
  <si>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</si>
  <si>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</si>
  <si>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</si>
  <si>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</si>
  <si>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</si>
  <si>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</si>
  <si>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</si>
  <si>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</si>
  <si>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</si>
  <si>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</si>
  <si>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</si>
  <si>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</si>
  <si>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</si>
  <si>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</si>
  <si>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</si>
  <si>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</si>
  <si>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</si>
  <si>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</si>
  <si>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</si>
  <si>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</si>
  <si>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</si>
  <si>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</si>
  <si>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</si>
  <si>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</si>
  <si>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</si>
  <si>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</si>
  <si>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</si>
  <si>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</si>
  <si>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</si>
  <si>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</si>
  <si>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</si>
  <si>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</si>
  <si>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</si>
  <si>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</si>
  <si>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</si>
  <si>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</si>
  <si>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</si>
  <si>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</si>
  <si>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</si>
  <si>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</si>
  <si>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</si>
  <si>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</si>
  <si>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</si>
  <si>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</si>
  <si>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</si>
  <si>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</si>
  <si>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</si>
  <si>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</si>
  <si>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</si>
  <si>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</si>
  <si>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</si>
  <si>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</si>
  <si>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</si>
  <si>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</si>
  <si>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</si>
  <si>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</si>
  <si>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</si>
  <si>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</si>
  <si>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</si>
  <si>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</si>
  <si>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</si>
  <si>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</si>
  <si>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</si>
  <si>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</si>
  <si>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</si>
  <si>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</si>
  <si>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</si>
  <si>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</si>
  <si>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</si>
  <si>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</si>
  <si>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</si>
  <si>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</si>
  <si>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</si>
  <si>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</si>
  <si>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</si>
  <si>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</si>
  <si>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</si>
  <si>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</si>
  <si>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</si>
  <si>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</si>
  <si>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</si>
  <si>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</si>
  <si>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</si>
  <si>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</si>
  <si>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</si>
  <si>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</si>
  <si>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</si>
  <si>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</si>
  <si>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</si>
  <si>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</si>
  <si>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</si>
  <si>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</si>
  <si>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</si>
  <si>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</si>
  <si>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</si>
  <si>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</si>
  <si>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</si>
  <si>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</si>
  <si>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</si>
  <si>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</si>
  <si>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</si>
  <si>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</si>
  <si>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</si>
  <si>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</si>
  <si>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</si>
  <si>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</si>
  <si>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</si>
  <si>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</si>
  <si>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</si>
  <si>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</si>
  <si>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</si>
  <si>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</si>
  <si>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</si>
  <si>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</si>
  <si>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</si>
  <si>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</si>
  <si>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</si>
  <si>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</si>
  <si>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</si>
  <si>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</si>
  <si>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</si>
  <si>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</si>
  <si>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</si>
  <si>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</si>
  <si>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</si>
  <si>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</si>
  <si>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</si>
  <si>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</si>
  <si>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</si>
  <si>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</si>
  <si>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</si>
  <si>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</si>
  <si>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</si>
  <si>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</si>
  <si>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</si>
  <si>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</si>
  <si>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</si>
  <si>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</si>
  <si>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</si>
  <si>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</si>
  <si>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</si>
  <si>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</si>
  <si>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</si>
  <si>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</si>
  <si>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</si>
  <si>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</si>
  <si>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</si>
  <si>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</si>
  <si>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</si>
  <si>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</si>
  <si>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</si>
  <si>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</si>
  <si>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</si>
  <si>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</si>
  <si>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</si>
  <si>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</si>
  <si>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</si>
  <si>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</si>
  <si>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</si>
  <si>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</si>
  <si>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</si>
  <si>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</si>
  <si>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</si>
  <si>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</si>
  <si>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</si>
  <si>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</si>
  <si>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</si>
  <si>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</si>
  <si>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</si>
  <si>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</si>
  <si>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</si>
  <si>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</si>
  <si>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</si>
  <si>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</si>
  <si>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</si>
  <si>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</si>
  <si>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</si>
  <si>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</si>
  <si>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</si>
  <si>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</si>
  <si>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</si>
  <si>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</si>
  <si>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</si>
  <si>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</si>
  <si>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</si>
  <si>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</si>
  <si>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</si>
  <si>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</si>
  <si>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</si>
  <si>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</si>
  <si>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</si>
  <si>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</si>
  <si>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</si>
  <si>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</si>
  <si>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</si>
  <si>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</si>
  <si>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</si>
  <si>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</si>
  <si>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</si>
  <si>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</si>
  <si>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</si>
  <si>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</si>
  <si>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</si>
  <si>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</si>
  <si>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</si>
  <si>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</si>
  <si>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</si>
  <si>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</si>
  <si>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</si>
  <si>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</si>
  <si>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</si>
  <si>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</si>
  <si>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</si>
  <si>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</si>
  <si>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</si>
  <si>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</si>
  <si>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</si>
  <si>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</si>
  <si>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</si>
  <si>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</si>
  <si>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</si>
  <si>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</si>
  <si>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</si>
  <si>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</si>
  <si>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</si>
  <si>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</si>
  <si>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</si>
  <si>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</si>
  <si>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</si>
  <si>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</si>
  <si>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</si>
  <si>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</si>
  <si>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</si>
  <si>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</si>
  <si>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</si>
  <si>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</si>
  <si>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</si>
  <si>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</si>
  <si>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</si>
  <si>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</si>
  <si>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</si>
  <si>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</si>
  <si>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</si>
  <si>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</si>
  <si>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</si>
  <si>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</si>
  <si>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</si>
  <si>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</si>
  <si>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</si>
  <si>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</si>
  <si>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</si>
  <si>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</si>
  <si>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</si>
  <si>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</si>
  <si>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</si>
  <si>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</si>
  <si>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</si>
  <si>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</si>
  <si>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</si>
  <si>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</si>
  <si>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</si>
  <si>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</si>
  <si>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</si>
  <si>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</si>
  <si>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</si>
  <si>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</si>
  <si>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</si>
  <si>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</si>
  <si>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</si>
  <si>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</si>
  <si>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</si>
  <si>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</si>
  <si>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</si>
  <si>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</si>
  <si>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</si>
  <si>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</si>
  <si>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</si>
  <si>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</si>
  <si>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</si>
  <si>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</si>
  <si>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</si>
  <si>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</si>
  <si>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</si>
  <si>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</si>
  <si>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</si>
  <si>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</si>
  <si>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</si>
  <si>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</si>
  <si>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</si>
  <si>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</si>
  <si>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</si>
  <si>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</si>
  <si>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</si>
  <si>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</si>
  <si>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</si>
  <si>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</si>
  <si>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</si>
  <si>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</si>
  <si>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</si>
  <si>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</si>
  <si>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</si>
  <si>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</si>
  <si>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</si>
  <si>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</si>
  <si>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</si>
  <si>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</si>
  <si>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</si>
  <si>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</si>
  <si>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</si>
  <si>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</si>
  <si>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</si>
  <si>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</si>
  <si>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</si>
  <si>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</si>
  <si>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</si>
  <si>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</si>
  <si>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</si>
  <si>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</si>
  <si>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</si>
  <si>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</si>
  <si>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</si>
  <si>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</si>
  <si>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</si>
  <si>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</si>
  <si>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</si>
  <si>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</si>
  <si>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</si>
  <si>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</si>
  <si>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</si>
  <si>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</si>
  <si>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</si>
  <si>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</si>
  <si>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</si>
  <si>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</si>
  <si>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</si>
  <si>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</si>
  <si>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</si>
  <si>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</si>
  <si>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</si>
  <si>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</si>
  <si>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</si>
  <si>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</si>
  <si>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</si>
  <si>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</si>
  <si>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</si>
  <si>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</si>
  <si>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</si>
  <si>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</si>
  <si>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</si>
  <si>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</si>
  <si>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</si>
  <si>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</si>
  <si>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</si>
  <si>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</si>
  <si>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</si>
  <si>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</si>
  <si>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</si>
  <si>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</si>
  <si>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</si>
  <si>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</si>
  <si>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</si>
  <si>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</si>
  <si>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</si>
  <si>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</si>
  <si>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</si>
  <si>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</si>
  <si>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</si>
  <si>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</si>
  <si>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</si>
  <si>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</si>
  <si>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</si>
  <si>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</si>
  <si>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</si>
  <si>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</si>
  <si>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</si>
  <si>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</si>
  <si>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</si>
  <si>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</si>
  <si>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</si>
  <si>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</si>
  <si>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</si>
  <si>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</si>
  <si>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</si>
  <si>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</si>
  <si>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</si>
  <si>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</si>
  <si>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</si>
  <si>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</si>
  <si>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</si>
  <si>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</si>
  <si>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</si>
  <si>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</si>
  <si>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</si>
  <si>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</si>
  <si>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</si>
  <si>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</si>
  <si>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</si>
  <si>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</si>
  <si>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</si>
  <si>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</si>
  <si>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</si>
  <si>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</si>
  <si>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</si>
  <si>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</si>
  <si>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</si>
  <si>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</si>
  <si>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</si>
  <si>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</si>
  <si>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</si>
  <si>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</si>
  <si>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</si>
  <si>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</si>
  <si>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</si>
  <si>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</si>
  <si>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</si>
  <si>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</si>
  <si>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</si>
  <si>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</si>
  <si>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</si>
  <si>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</si>
  <si>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</si>
  <si>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</si>
  <si>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</si>
  <si>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</si>
  <si>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</si>
  <si>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</si>
  <si>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</si>
  <si>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</si>
  <si>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</si>
  <si>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</si>
  <si>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</si>
  <si>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</si>
  <si>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</si>
  <si>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</si>
  <si>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</si>
  <si>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</si>
  <si>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</si>
  <si>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</si>
  <si>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</si>
  <si>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</si>
  <si>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</si>
  <si>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</si>
  <si>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</si>
  <si>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</si>
  <si>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</si>
  <si>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</si>
  <si>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</si>
  <si>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</si>
  <si>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</si>
  <si>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</si>
  <si>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</si>
  <si>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</si>
  <si>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</si>
  <si>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</si>
  <si>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</si>
  <si>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</si>
  <si>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</si>
  <si>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</si>
  <si>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</si>
  <si>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</si>
  <si>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</si>
  <si>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</si>
  <si>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</si>
  <si>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</si>
  <si>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</si>
  <si>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</si>
  <si>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</si>
  <si>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</si>
  <si>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</si>
  <si>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</si>
  <si>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</si>
  <si>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</si>
  <si>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</si>
  <si>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</si>
  <si>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</si>
  <si>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</si>
  <si>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</si>
  <si>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</si>
  <si>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</si>
  <si>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</si>
  <si>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</si>
  <si>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</si>
  <si>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</si>
  <si>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</si>
  <si>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</si>
  <si>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</si>
  <si>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</si>
  <si>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</si>
  <si>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</si>
  <si>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</si>
  <si>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</si>
  <si>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</si>
  <si>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</si>
  <si>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</si>
  <si>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</si>
  <si>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</si>
  <si>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</si>
  <si>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</si>
  <si>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</si>
  <si>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</si>
  <si>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</si>
  <si>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</si>
  <si>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</si>
  <si>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</si>
  <si>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</si>
  <si>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</si>
  <si>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</si>
  <si>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</si>
  <si>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</si>
  <si>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</si>
  <si>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</si>
  <si>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</si>
  <si>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</si>
  <si>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</si>
  <si>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</si>
  <si>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</si>
  <si>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</si>
  <si>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</si>
  <si>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</si>
  <si>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</si>
  <si>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</si>
  <si>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</si>
  <si>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</si>
  <si>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</si>
  <si>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</si>
  <si>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</si>
  <si>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</si>
  <si>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</si>
  <si>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</si>
  <si>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</si>
  <si>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</si>
  <si>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</si>
  <si>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</si>
  <si>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</si>
  <si>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</si>
  <si>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</si>
  <si>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</si>
  <si>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</si>
  <si>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</si>
  <si>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</si>
  <si>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</si>
  <si>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</si>
  <si>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</si>
  <si>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</si>
  <si>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</si>
  <si>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</si>
  <si>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</si>
  <si>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</si>
  <si>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</si>
  <si>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</si>
  <si>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</si>
  <si>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</si>
  <si>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</si>
  <si>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</si>
  <si>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</si>
  <si>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</si>
  <si>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</si>
  <si>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</si>
  <si>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</si>
  <si>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</si>
  <si>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</si>
  <si>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</si>
  <si>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</si>
  <si>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</si>
  <si>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</si>
  <si>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</si>
  <si>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</si>
  <si>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</si>
  <si>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</si>
  <si>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</si>
  <si>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</si>
  <si>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</si>
  <si>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</si>
  <si>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</si>
  <si>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</si>
  <si>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</si>
  <si>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</si>
  <si>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</si>
  <si>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</si>
  <si>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</si>
  <si>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</si>
  <si>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</si>
  <si>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</si>
  <si>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</si>
  <si>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</si>
  <si>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</si>
  <si>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</si>
  <si>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</si>
  <si>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</si>
  <si>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</si>
  <si>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</si>
  <si>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</si>
  <si>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</si>
  <si>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</si>
  <si>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</si>
  <si>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</si>
  <si>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</si>
  <si>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</si>
  <si>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</si>
  <si>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</si>
  <si>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</si>
  <si>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</si>
  <si>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</si>
  <si>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</si>
  <si>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</si>
  <si>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</si>
  <si>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</si>
  <si>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</si>
  <si>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</si>
  <si>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</si>
  <si>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</si>
  <si>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</si>
  <si>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</si>
  <si>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</si>
  <si>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</si>
  <si>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</si>
  <si>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</si>
  <si>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</si>
  <si>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</si>
  <si>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</si>
  <si>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</si>
  <si>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</si>
  <si>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</si>
  <si>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</si>
  <si>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</si>
  <si>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</si>
  <si>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</si>
  <si>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</si>
  <si>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</si>
  <si>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</si>
  <si>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</si>
  <si>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</si>
  <si>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</si>
  <si>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</si>
  <si>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</si>
  <si>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</si>
  <si>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</si>
  <si>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</si>
  <si>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</si>
  <si>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</si>
  <si>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</si>
  <si>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</si>
  <si>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</si>
  <si>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</si>
  <si>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</si>
  <si>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</si>
  <si>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</si>
  <si>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</si>
  <si>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</si>
  <si>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</si>
  <si>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</si>
  <si>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</si>
  <si>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</si>
  <si>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</si>
  <si>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</si>
  <si>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</si>
  <si>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</si>
  <si>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</si>
  <si>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</si>
  <si>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</si>
  <si>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</si>
  <si>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</si>
  <si>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</si>
  <si>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</si>
  <si>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</si>
  <si>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</si>
  <si>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</si>
  <si>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</si>
  <si>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</si>
  <si>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</si>
  <si>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</si>
  <si>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</si>
  <si>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</si>
  <si>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</si>
  <si>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</si>
  <si>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</si>
  <si>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</si>
  <si>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</si>
  <si>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</si>
  <si>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</si>
  <si>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</si>
  <si>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</si>
  <si>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</si>
  <si>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</si>
  <si>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</si>
  <si>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</si>
  <si>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</si>
  <si>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</si>
  <si>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</si>
  <si>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</si>
  <si>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</si>
  <si>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</si>
  <si>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</si>
  <si>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</si>
  <si>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</si>
  <si>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</si>
  <si>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</si>
  <si>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</si>
  <si>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</si>
  <si>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</si>
  <si>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</si>
  <si>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</si>
  <si>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</si>
  <si>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</si>
  <si>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</si>
  <si>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</si>
  <si>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</si>
  <si>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</si>
  <si>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</si>
  <si>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</si>
  <si>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</si>
  <si>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</si>
  <si>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</si>
  <si>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</si>
  <si>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</si>
  <si>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</si>
  <si>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</si>
  <si>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</si>
  <si>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</si>
  <si>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</si>
  <si>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</si>
  <si>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</si>
  <si>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</si>
  <si>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</si>
  <si>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</si>
  <si>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</si>
  <si>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</si>
  <si>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</si>
  <si>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</si>
  <si>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</si>
  <si>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</si>
  <si>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</si>
  <si>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</si>
  <si>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</si>
  <si>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</si>
  <si>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</si>
  <si>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</si>
  <si>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</si>
  <si>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</si>
  <si>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</si>
  <si>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</si>
  <si>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</si>
  <si>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</si>
  <si>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</si>
  <si>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</si>
  <si>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</si>
  <si>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</si>
  <si>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</si>
  <si>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</si>
  <si>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</si>
  <si>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</si>
  <si>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</si>
  <si>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</si>
  <si>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</si>
  <si>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</si>
  <si>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</si>
  <si>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</si>
  <si>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</si>
  <si>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</si>
  <si>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</si>
  <si>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</si>
  <si>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</si>
  <si>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</si>
  <si>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</si>
  <si>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</si>
  <si>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</si>
  <si>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</si>
  <si>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</si>
  <si>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</si>
  <si>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</si>
  <si>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</si>
  <si>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</si>
  <si>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</si>
  <si>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</si>
  <si>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</si>
  <si>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</si>
  <si>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</si>
  <si>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</si>
  <si>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</si>
  <si>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</si>
  <si>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</si>
  <si>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</si>
  <si>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</si>
  <si>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</si>
  <si>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</si>
  <si>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</si>
  <si>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</si>
  <si>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</si>
  <si>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</si>
  <si>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</si>
  <si>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</si>
  <si>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</si>
  <si>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</si>
  <si>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</si>
  <si>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</si>
  <si>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</si>
  <si>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</si>
  <si>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</si>
  <si>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</si>
  <si>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</si>
  <si>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</si>
  <si>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</si>
  <si>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</si>
  <si>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</si>
  <si>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</si>
  <si>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</si>
  <si>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</si>
  <si>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</si>
  <si>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</si>
  <si>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</si>
  <si>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</si>
  <si>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</si>
  <si>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</si>
  <si>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</si>
  <si>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</si>
  <si>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</si>
  <si>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</si>
  <si>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</si>
  <si>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</si>
  <si>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</si>
  <si>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</si>
  <si>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</si>
  <si>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</si>
  <si>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</si>
  <si>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</si>
  <si>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</si>
  <si>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</si>
  <si>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</si>
  <si>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</si>
  <si>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</si>
  <si>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</si>
  <si>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</si>
  <si>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</si>
  <si>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</si>
  <si>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</si>
  <si>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</si>
  <si>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</si>
  <si>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</si>
  <si>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</si>
  <si>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</si>
  <si>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</si>
  <si>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</si>
  <si>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</si>
  <si>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</si>
  <si>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</si>
  <si>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</si>
  <si>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</si>
  <si>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</si>
  <si>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</si>
  <si>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</si>
  <si>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</si>
  <si>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</si>
  <si>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</si>
  <si>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</si>
  <si>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</si>
  <si>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</si>
  <si>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</si>
  <si>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</si>
  <si>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</si>
  <si>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</si>
  <si>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</si>
  <si>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</si>
  <si>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</si>
  <si>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</si>
  <si>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</si>
  <si>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</si>
  <si>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</si>
  <si>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</si>
  <si>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</si>
  <si>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</si>
  <si>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</si>
  <si>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</si>
  <si>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</si>
  <si>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</si>
  <si>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</si>
  <si>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</si>
  <si>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</si>
  <si>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</si>
  <si>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</si>
  <si>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</si>
  <si>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</si>
  <si>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</si>
  <si>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</si>
  <si>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</si>
  <si>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</si>
  <si>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</si>
  <si>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</si>
  <si>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</si>
  <si>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</si>
  <si>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</si>
  <si>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</si>
  <si>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</si>
  <si>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</si>
  <si>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</si>
  <si>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</si>
  <si>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</si>
  <si>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</si>
  <si>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</si>
  <si>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</si>
  <si>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</si>
  <si>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</si>
  <si>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</si>
  <si>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</si>
  <si>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</si>
  <si>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</si>
  <si>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</si>
  <si>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</si>
  <si>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</si>
  <si>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</si>
  <si>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</si>
  <si>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</si>
  <si>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</si>
  <si>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</si>
  <si>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</si>
  <si>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</si>
  <si>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</si>
  <si>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</si>
  <si>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</si>
  <si>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</si>
  <si>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</si>
  <si>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</si>
  <si>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</si>
  <si>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</si>
  <si>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</si>
  <si>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</si>
  <si>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</si>
  <si>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</si>
  <si>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</si>
  <si>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</si>
  <si>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</si>
  <si>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</si>
  <si>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</si>
  <si>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</si>
  <si>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</si>
  <si>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</si>
  <si>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</si>
  <si>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</si>
  <si>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</si>
  <si>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</si>
  <si>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</si>
  <si>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</si>
  <si>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</si>
  <si>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</si>
  <si>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</si>
  <si>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</si>
  <si>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</si>
  <si>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</si>
  <si>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</si>
  <si>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</si>
  <si>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</si>
  <si>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</si>
  <si>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</si>
  <si>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</si>
  <si>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</si>
  <si>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</si>
  <si>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</si>
  <si>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</si>
  <si>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</si>
  <si>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</si>
  <si>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</si>
  <si>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</si>
  <si>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</si>
  <si>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</si>
  <si>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</si>
  <si>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</si>
  <si>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</si>
  <si>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</si>
  <si>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</si>
  <si>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</si>
  <si>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</si>
  <si>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</si>
  <si>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</si>
  <si>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</si>
  <si>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</si>
  <si>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</si>
  <si>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</si>
  <si>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</si>
  <si>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</si>
  <si>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</si>
  <si>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</si>
  <si>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</si>
  <si>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</si>
  <si>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</si>
  <si>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</si>
  <si>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</si>
  <si>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</si>
  <si>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</si>
  <si>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</si>
  <si>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</si>
  <si>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</si>
  <si>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</si>
  <si>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</si>
  <si>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</si>
  <si>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</si>
  <si>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</si>
  <si>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</si>
  <si>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</si>
  <si>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</si>
  <si>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</si>
  <si>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</si>
  <si>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</si>
  <si>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</si>
  <si>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</si>
  <si>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</si>
  <si>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</si>
  <si>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</si>
  <si>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</si>
  <si>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</si>
  <si>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</si>
  <si>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</si>
  <si>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</si>
  <si>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</si>
  <si>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</si>
  <si>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</si>
  <si>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</si>
  <si>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</si>
  <si>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</si>
  <si>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</si>
  <si>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</si>
  <si>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</si>
  <si>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</si>
  <si>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</si>
  <si>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</si>
  <si>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</si>
  <si>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</si>
  <si>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</si>
  <si>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</si>
  <si>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</si>
  <si>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</si>
  <si>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</si>
  <si>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</si>
  <si>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</si>
  <si>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</si>
  <si>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</si>
  <si>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</si>
  <si>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</si>
  <si>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</si>
  <si>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</si>
  <si>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</si>
  <si>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</si>
  <si>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</si>
  <si>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</si>
  <si>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</si>
  <si>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</si>
  <si>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</si>
  <si>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</si>
  <si>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</si>
  <si>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</si>
  <si>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</si>
  <si>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</si>
  <si>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</si>
  <si>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</si>
  <si>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</si>
  <si>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</si>
  <si>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</si>
  <si>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</si>
  <si>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</si>
  <si>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</si>
  <si>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</si>
  <si>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</si>
  <si>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</si>
  <si>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</si>
  <si>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</si>
  <si>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</si>
  <si>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</si>
  <si>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</si>
  <si>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</si>
  <si>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</si>
  <si>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</si>
  <si>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</si>
  <si>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</si>
  <si>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</si>
  <si>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</si>
  <si>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</si>
  <si>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</si>
  <si>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</si>
  <si>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</si>
  <si>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</si>
  <si>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</si>
  <si>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</si>
  <si>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</si>
  <si>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</si>
  <si>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</si>
  <si>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</si>
  <si>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</si>
  <si>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</si>
  <si>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</si>
  <si>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</si>
  <si>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</si>
  <si>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</si>
  <si>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</si>
  <si>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</si>
  <si>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</si>
  <si>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</si>
  <si>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</si>
  <si>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</si>
  <si>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</si>
  <si>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</si>
  <si>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</si>
  <si>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</si>
  <si>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</si>
  <si>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</si>
  <si>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</si>
  <si>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</si>
  <si>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</si>
  <si>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</si>
  <si>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</si>
  <si>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</si>
  <si>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</si>
  <si>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</si>
  <si>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</si>
  <si>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</si>
  <si>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</si>
  <si>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</si>
  <si>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</si>
  <si>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</si>
  <si>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</si>
  <si>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</si>
  <si>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</si>
  <si>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</si>
  <si>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</si>
  <si>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</si>
  <si>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</si>
  <si>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</si>
  <si>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</si>
  <si>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</si>
  <si>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</si>
  <si>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</si>
  <si>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</si>
  <si>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</si>
  <si>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</si>
  <si>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</si>
  <si>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</si>
  <si>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</si>
  <si>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</si>
  <si>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</si>
  <si>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</si>
  <si>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</si>
  <si>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</si>
  <si>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</si>
  <si>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</si>
  <si>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</si>
  <si>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</si>
  <si>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</si>
  <si>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</si>
  <si>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</si>
  <si>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</si>
  <si>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</si>
  <si>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</si>
  <si>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</si>
  <si>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</si>
  <si>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</si>
  <si>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</si>
  <si>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</si>
  <si>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</si>
  <si>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</si>
  <si>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</si>
  <si>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</si>
  <si>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</si>
  <si>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</si>
  <si>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</si>
  <si>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</si>
  <si>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</si>
  <si>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</si>
  <si>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</si>
  <si>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</si>
  <si>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</si>
  <si>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</si>
  <si>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</si>
  <si>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</si>
  <si>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</si>
  <si>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</si>
  <si>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</si>
  <si>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</si>
  <si>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</si>
  <si>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</si>
  <si>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</si>
  <si>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</si>
  <si>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</si>
  <si>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</si>
  <si>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</si>
  <si>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</si>
  <si>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</si>
  <si>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</si>
  <si>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</si>
  <si>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</si>
  <si>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</si>
  <si>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</si>
  <si>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</si>
  <si>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</si>
  <si>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</si>
  <si>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</si>
  <si>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</si>
  <si>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</si>
  <si>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</si>
  <si>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</si>
  <si>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</si>
  <si>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</si>
  <si>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</si>
  <si>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</si>
  <si>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</si>
  <si>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</si>
  <si>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</si>
  <si>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</si>
  <si>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</si>
  <si>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</si>
  <si>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</si>
  <si>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</si>
  <si>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</si>
  <si>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</si>
  <si>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</si>
  <si>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</si>
  <si>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</si>
  <si>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</si>
  <si>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</si>
  <si>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</si>
  <si>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</si>
  <si>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</si>
  <si>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</si>
  <si>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</si>
  <si>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</si>
  <si>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</si>
  <si>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</si>
  <si>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</si>
  <si>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</si>
  <si>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</si>
  <si>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</si>
  <si>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</si>
  <si>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</si>
  <si>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</si>
  <si>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</si>
  <si>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</si>
  <si>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</si>
  <si>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</si>
  <si>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</si>
  <si>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</si>
  <si>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</si>
  <si>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</si>
  <si>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</si>
  <si>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</si>
  <si>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</si>
  <si>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</si>
  <si>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</si>
  <si>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</si>
  <si>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</si>
  <si>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</si>
  <si>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</si>
  <si>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</si>
  <si>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</si>
  <si>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</si>
  <si>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</si>
  <si>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</si>
  <si>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</si>
  <si>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</si>
  <si>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</si>
  <si>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</si>
  <si>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</si>
  <si>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</si>
  <si>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</si>
  <si>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</si>
  <si>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</si>
  <si>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</si>
  <si>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</si>
  <si>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</si>
  <si>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</si>
  <si>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</si>
  <si>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</si>
  <si>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</si>
  <si>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</si>
  <si>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</si>
  <si>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</si>
  <si>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</si>
  <si>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</si>
  <si>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</si>
  <si>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</si>
  <si>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</si>
  <si>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</si>
  <si>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</si>
  <si>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</si>
  <si>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</si>
  <si>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</si>
  <si>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</si>
  <si>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</si>
  <si>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</si>
  <si>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</si>
  <si>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</si>
  <si>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</si>
  <si>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</si>
  <si>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</si>
  <si>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</si>
  <si>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</si>
  <si>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</si>
  <si>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</si>
  <si>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</si>
  <si>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</si>
  <si>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</si>
  <si>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</si>
  <si>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</si>
  <si>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</si>
  <si>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</si>
  <si>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</si>
  <si>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</si>
  <si>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</si>
  <si>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</si>
  <si>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</si>
  <si>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</si>
  <si>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</si>
  <si>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</si>
  <si>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</si>
  <si>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</si>
  <si>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</si>
  <si>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</si>
  <si>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</si>
  <si>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</si>
  <si>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</si>
  <si>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</si>
  <si>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</si>
  <si>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</si>
  <si>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</si>
  <si>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</si>
  <si>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</si>
  <si>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</si>
  <si>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</si>
  <si>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</si>
  <si>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</si>
  <si>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</si>
  <si>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</si>
  <si>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</si>
  <si>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</si>
  <si>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</si>
  <si>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</si>
  <si>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</si>
  <si>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</si>
  <si>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</si>
  <si>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</si>
  <si>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</si>
  <si>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</si>
  <si>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</si>
  <si>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</si>
  <si>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</si>
  <si>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</si>
  <si>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</si>
  <si>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</si>
  <si>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</si>
  <si>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</si>
  <si>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</si>
  <si>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</si>
  <si>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</si>
  <si>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</si>
  <si>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</si>
  <si>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</si>
  <si>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</si>
  <si>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</si>
  <si>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</si>
  <si>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</si>
  <si>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</si>
  <si>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</si>
  <si>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</si>
  <si>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</si>
  <si>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</si>
  <si>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</si>
  <si>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</si>
  <si>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</si>
  <si>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</si>
  <si>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</si>
  <si>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</si>
  <si>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</si>
  <si>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</si>
  <si>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</si>
  <si>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</si>
  <si>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</si>
  <si>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</si>
  <si>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</si>
  <si>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</si>
  <si>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</si>
  <si>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</si>
  <si>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</si>
  <si>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</si>
  <si>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</si>
  <si>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</si>
  <si>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</si>
  <si>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</si>
  <si>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</si>
  <si>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</si>
  <si>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</si>
  <si>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</si>
  <si>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</si>
  <si>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</si>
  <si>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</si>
  <si>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</si>
  <si>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</si>
  <si>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</si>
  <si>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</si>
  <si>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</si>
  <si>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</si>
  <si>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</si>
  <si>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</si>
  <si>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</si>
  <si>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</si>
  <si>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</si>
  <si>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</si>
  <si>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</si>
  <si>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</si>
  <si>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</si>
  <si>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</si>
  <si>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</si>
  <si>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</si>
  <si>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</si>
  <si>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</si>
  <si>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</si>
  <si>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</si>
  <si>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</si>
  <si>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</si>
  <si>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</si>
  <si>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</si>
  <si>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</si>
  <si>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</si>
  <si>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</si>
  <si>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</si>
  <si>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</si>
  <si>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</si>
  <si>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</si>
  <si>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</si>
  <si>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</si>
  <si>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</si>
  <si>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</si>
  <si>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</si>
  <si>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</si>
  <si>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</si>
  <si>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</si>
  <si>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</si>
  <si>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</si>
  <si>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</si>
  <si>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</si>
  <si>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</si>
  <si>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</si>
  <si>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</si>
  <si>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</si>
  <si>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</si>
  <si>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</si>
  <si>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</si>
  <si>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</si>
  <si>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</si>
  <si>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</si>
  <si>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</si>
  <si>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</si>
  <si>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</si>
  <si>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</si>
  <si>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</si>
  <si>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</si>
  <si>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</si>
  <si>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</si>
  <si>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</si>
  <si>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</si>
  <si>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</si>
  <si>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</si>
  <si>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</si>
  <si>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</si>
  <si>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</si>
  <si>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</si>
  <si>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</si>
  <si>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</si>
  <si>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</si>
  <si>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</si>
  <si>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</si>
  <si>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</si>
  <si>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</si>
  <si>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</si>
  <si>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</si>
  <si>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</si>
  <si>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</si>
  <si>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</si>
  <si>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</si>
  <si>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</si>
  <si>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</si>
  <si>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</si>
  <si>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</si>
  <si>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</si>
  <si>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</si>
  <si>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</si>
  <si>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</si>
  <si>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</si>
  <si>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</si>
  <si>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</si>
  <si>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</si>
  <si>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</si>
  <si>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</si>
  <si>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</si>
  <si>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</si>
  <si>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</si>
  <si>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</si>
  <si>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</si>
  <si>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</si>
  <si>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</si>
  <si>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</si>
  <si>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</si>
  <si>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</si>
  <si>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</si>
  <si>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</si>
  <si>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</si>
  <si>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</si>
  <si>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</si>
  <si>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</si>
  <si>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</si>
  <si>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</si>
  <si>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</si>
  <si>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</si>
  <si>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</si>
  <si>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</si>
  <si>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</si>
  <si>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</si>
  <si>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</si>
  <si>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</si>
  <si>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</si>
  <si>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</si>
  <si>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</si>
  <si>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</si>
  <si>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</si>
  <si>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</si>
  <si>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</si>
  <si>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</si>
  <si>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</si>
  <si>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</si>
  <si>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</si>
  <si>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</si>
  <si>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</si>
  <si>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</si>
  <si>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</si>
  <si>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</si>
  <si>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</si>
  <si>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</si>
  <si>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</si>
  <si>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</si>
  <si>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</si>
  <si>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</si>
  <si>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</si>
  <si>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</si>
  <si>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</si>
  <si>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</si>
  <si>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</si>
  <si>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</si>
  <si>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</si>
  <si>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</si>
  <si>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</si>
  <si>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</si>
  <si>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</si>
  <si>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</si>
  <si>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</si>
  <si>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</si>
  <si>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</si>
  <si>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</si>
  <si>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</si>
  <si>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</si>
  <si>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</si>
  <si>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</si>
  <si>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</si>
  <si>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</si>
  <si>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</si>
  <si>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</si>
  <si>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</si>
  <si>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</si>
  <si>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</si>
  <si>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</si>
  <si>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</si>
  <si>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</si>
  <si>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</si>
  <si>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</si>
  <si>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</si>
  <si>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</si>
  <si>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</si>
  <si>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</si>
  <si>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</si>
  <si>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</si>
  <si>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</si>
  <si>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</si>
  <si>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</si>
  <si>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</si>
  <si>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</si>
  <si>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</si>
  <si>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</si>
  <si>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</si>
  <si>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</si>
  <si>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</si>
  <si>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</si>
  <si>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</si>
  <si>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</si>
  <si>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</si>
  <si>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</si>
  <si>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</si>
  <si>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</si>
  <si>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</si>
  <si>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</si>
  <si>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</si>
  <si>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</si>
  <si>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</si>
  <si>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</si>
  <si>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</si>
  <si>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</si>
  <si>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</si>
  <si>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</si>
  <si>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</si>
  <si>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</si>
  <si>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</si>
  <si>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</si>
  <si>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</si>
  <si>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</si>
  <si>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</si>
  <si>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</si>
  <si>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</si>
  <si>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</si>
  <si>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</si>
  <si>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</si>
  <si>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</si>
  <si>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</si>
  <si>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</si>
  <si>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</si>
  <si>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</si>
  <si>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</si>
  <si>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</si>
  <si>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</si>
  <si>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</si>
  <si>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</si>
  <si>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</si>
  <si>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</si>
  <si>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</si>
  <si>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</si>
  <si>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</si>
  <si>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</si>
  <si>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</si>
  <si>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</si>
  <si>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</si>
  <si>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</si>
  <si>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</si>
  <si>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</si>
  <si>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</si>
  <si>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</si>
  <si>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</si>
  <si>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</si>
  <si>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</si>
  <si>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</si>
  <si>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</si>
  <si>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</si>
  <si>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</si>
  <si>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</si>
  <si>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</si>
  <si>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</si>
  <si>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</si>
  <si>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</si>
  <si>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</si>
  <si>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</si>
  <si>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</si>
  <si>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</si>
  <si>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</si>
  <si>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</si>
  <si>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</si>
  <si>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</si>
  <si>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</si>
  <si>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</si>
  <si>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</si>
  <si>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</si>
  <si>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</si>
  <si>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</si>
  <si>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</si>
  <si>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</si>
  <si>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</si>
  <si>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</si>
  <si>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</si>
  <si>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</si>
  <si>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</si>
  <si>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</si>
  <si>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</si>
  <si>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</si>
  <si>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</si>
  <si>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</si>
  <si>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</si>
  <si>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</si>
  <si>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</si>
  <si>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</si>
  <si>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</si>
  <si>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</si>
  <si>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</si>
  <si>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</si>
  <si>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</si>
  <si>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</si>
  <si>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</si>
  <si>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</si>
  <si>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</si>
  <si>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</si>
  <si>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</si>
  <si>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</si>
  <si>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</si>
  <si>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</si>
  <si>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</si>
  <si>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</si>
  <si>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</si>
  <si>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</si>
  <si>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</si>
  <si>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</si>
  <si>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</si>
  <si>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</si>
  <si>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</si>
  <si>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</si>
  <si>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</si>
  <si>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</si>
  <si>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</si>
  <si>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</si>
  <si>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</si>
  <si>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</si>
  <si>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</si>
  <si>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</si>
  <si>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</si>
  <si>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</si>
  <si>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</si>
  <si>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</si>
  <si>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</si>
  <si>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</si>
  <si>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</si>
  <si>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</si>
  <si>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</si>
  <si>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</si>
  <si>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</si>
  <si>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</si>
  <si>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</si>
  <si>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</si>
  <si>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</si>
  <si>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</si>
  <si>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</si>
  <si>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</si>
  <si>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</si>
  <si>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</si>
  <si>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</si>
  <si>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</si>
  <si>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</si>
  <si>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</si>
  <si>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</si>
  <si>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</si>
  <si>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</si>
  <si>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</si>
  <si>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</si>
  <si>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</si>
  <si>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</si>
  <si>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</si>
  <si>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</si>
  <si>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</si>
  <si>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</si>
  <si>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</si>
  <si>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</si>
  <si>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</si>
  <si>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</si>
  <si>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</si>
  <si>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</si>
  <si>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</si>
  <si>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</si>
  <si>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</si>
  <si>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</si>
  <si>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</si>
  <si>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</si>
  <si>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</si>
  <si>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</si>
  <si>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</si>
  <si>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</si>
  <si>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</si>
  <si>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</si>
  <si>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</si>
  <si>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</si>
  <si>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</si>
  <si>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</si>
  <si>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</si>
  <si>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</si>
  <si>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</si>
  <si>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</si>
  <si>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</si>
  <si>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</si>
  <si>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</si>
  <si>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</si>
  <si>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</si>
  <si>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</si>
  <si>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</si>
  <si>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</si>
  <si>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</si>
  <si>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</si>
  <si>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</si>
  <si>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</si>
  <si>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</si>
  <si>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</si>
  <si>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</si>
  <si>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</si>
  <si>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</si>
  <si>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</si>
  <si>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</si>
  <si>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</si>
  <si>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</si>
  <si>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</si>
  <si>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</si>
  <si>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</si>
  <si>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</si>
  <si>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</si>
  <si>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</si>
  <si>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</si>
  <si>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</si>
  <si>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</si>
  <si>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</si>
  <si>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</si>
  <si>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</si>
  <si>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</si>
  <si>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</si>
  <si>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</si>
  <si>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</si>
  <si>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</si>
  <si>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</si>
  <si>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</si>
  <si>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</si>
  <si>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</si>
  <si>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</si>
  <si>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</si>
  <si>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</si>
  <si>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</si>
  <si>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</si>
  <si>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</si>
  <si>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</si>
  <si>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</si>
  <si>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</si>
  <si>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</si>
  <si>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</si>
  <si>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</si>
  <si>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</si>
  <si>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</si>
  <si>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</si>
  <si>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</si>
  <si>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</si>
  <si>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</si>
  <si>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</si>
  <si>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</si>
  <si>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</si>
  <si>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</si>
  <si>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</si>
  <si>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</si>
  <si>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</si>
  <si>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</si>
  <si>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</si>
  <si>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</si>
  <si>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</si>
  <si>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</si>
  <si>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</si>
  <si>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</si>
  <si>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</si>
  <si>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</si>
  <si>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</si>
  <si>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</si>
  <si>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</si>
  <si>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</si>
  <si>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</si>
  <si>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</si>
  <si>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</si>
  <si>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</si>
  <si>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</si>
  <si>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</si>
  <si>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</si>
  <si>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</si>
  <si>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</si>
  <si>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</si>
  <si>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</si>
  <si>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</si>
  <si>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</si>
  <si>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</si>
  <si>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</si>
  <si>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</si>
  <si>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</si>
  <si>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</si>
  <si>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</si>
  <si>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</si>
  <si>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</si>
  <si>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</si>
  <si>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</si>
  <si>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</si>
  <si>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</si>
  <si>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</si>
  <si>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</si>
  <si>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</si>
  <si>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</si>
  <si>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</si>
  <si>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</si>
  <si>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</si>
  <si>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</si>
  <si>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</si>
  <si>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</si>
  <si>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</si>
  <si>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</si>
  <si>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</si>
  <si>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</si>
  <si>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</si>
  <si>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</si>
  <si>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</si>
  <si>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</si>
  <si>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</si>
  <si>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</si>
  <si>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</si>
  <si>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</si>
  <si>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</si>
  <si>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</si>
  <si>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</si>
  <si>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</si>
  <si>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</si>
  <si>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</si>
  <si>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</si>
  <si>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</si>
  <si>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</si>
  <si>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</si>
  <si>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</si>
  <si>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</si>
  <si>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</si>
  <si>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</si>
  <si>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</si>
  <si>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</si>
  <si>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</si>
  <si>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</si>
  <si>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</si>
  <si>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</si>
  <si>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</si>
  <si>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</si>
  <si>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</si>
  <si>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</si>
  <si>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</si>
  <si>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</si>
  <si>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</si>
  <si>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</si>
  <si>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</si>
  <si>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</si>
  <si>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</si>
  <si>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</si>
  <si>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</si>
  <si>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</si>
  <si>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</si>
  <si>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</si>
  <si>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</si>
  <si>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</si>
  <si>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</si>
  <si>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</si>
  <si>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</si>
  <si>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</si>
  <si>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</si>
  <si>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</si>
  <si>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</si>
  <si>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</si>
  <si>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</si>
  <si>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</si>
  <si>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</si>
  <si>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</si>
  <si>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</si>
  <si>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</si>
  <si>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</si>
  <si>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</si>
  <si>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</si>
  <si>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</si>
  <si>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</si>
  <si>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</si>
  <si>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</si>
  <si>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</si>
  <si>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</si>
  <si>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</si>
  <si>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</si>
  <si>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</si>
  <si>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</si>
  <si>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</si>
  <si>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</si>
  <si>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</si>
  <si>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</si>
  <si>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</si>
  <si>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</si>
  <si>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</si>
  <si>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</si>
  <si>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</si>
  <si>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</si>
  <si>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</si>
  <si>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</si>
  <si>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</si>
  <si>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</si>
  <si>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</si>
  <si>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</si>
  <si>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</si>
  <si>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</si>
  <si>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</si>
  <si>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</si>
  <si>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</si>
  <si>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</si>
  <si>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</si>
  <si>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</si>
  <si>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</si>
  <si>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</si>
  <si>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</si>
  <si>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</si>
  <si>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</si>
  <si>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</si>
  <si>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</si>
  <si>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</si>
  <si>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</si>
  <si>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</si>
  <si>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</si>
  <si>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</si>
  <si>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</si>
  <si>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</si>
  <si>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</si>
  <si>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</si>
  <si>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</si>
  <si>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</si>
  <si>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</si>
  <si>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</si>
  <si>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</si>
  <si>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</si>
  <si>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</si>
  <si>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</si>
  <si>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</si>
  <si>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</si>
  <si>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</si>
  <si>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</si>
  <si>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</si>
  <si>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</si>
  <si>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</si>
  <si>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</si>
  <si>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</si>
  <si>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</si>
  <si>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</si>
  <si>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</si>
  <si>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</si>
  <si>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</si>
  <si>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</si>
  <si>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</si>
  <si>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</si>
  <si>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</si>
  <si>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</si>
  <si>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</si>
  <si>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</si>
  <si>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</si>
  <si>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</si>
  <si>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</si>
  <si>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</si>
  <si>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</si>
  <si>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</si>
  <si>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</si>
  <si>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</si>
  <si>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</si>
  <si>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</si>
  <si>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</si>
  <si>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</si>
  <si>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</si>
  <si>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</si>
  <si>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</si>
  <si>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</si>
  <si>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</si>
  <si>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</si>
  <si>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</si>
  <si>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</si>
  <si>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</si>
  <si>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</si>
  <si>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</si>
  <si>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</si>
  <si>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</si>
  <si>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</si>
  <si>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</si>
  <si>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</si>
  <si>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</si>
  <si>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</si>
  <si>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</si>
  <si>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</si>
  <si>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</si>
  <si>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</si>
  <si>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</si>
  <si>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</si>
  <si>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</si>
  <si>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</si>
  <si>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</si>
  <si>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</si>
  <si>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</si>
  <si>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</si>
  <si>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</si>
  <si>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</si>
  <si>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</si>
  <si>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</si>
  <si>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</si>
  <si>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</si>
  <si>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</si>
  <si>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</si>
  <si>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</si>
  <si>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</si>
  <si>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</si>
  <si>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</si>
  <si>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</si>
  <si>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</si>
  <si>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</si>
  <si>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</si>
  <si>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</si>
  <si>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</si>
  <si>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</si>
  <si>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</si>
  <si>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</si>
  <si>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</si>
  <si>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</si>
  <si>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</si>
  <si>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</si>
  <si>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</si>
  <si>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</si>
  <si>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</si>
  <si>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</si>
  <si>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</si>
  <si>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</si>
  <si>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</si>
  <si>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</si>
  <si>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</si>
  <si>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</si>
  <si>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</si>
  <si>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</si>
  <si>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</si>
  <si>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</si>
  <si>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</si>
  <si>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</si>
  <si>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</si>
  <si>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</si>
  <si>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</si>
  <si>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</si>
  <si>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</si>
  <si>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</si>
  <si>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</si>
  <si>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</si>
  <si>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</si>
  <si>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</si>
  <si>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</si>
  <si>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</si>
  <si>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</si>
  <si>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</si>
  <si>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</si>
  <si>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</si>
  <si>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</si>
  <si>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</si>
  <si>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</si>
  <si>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</si>
  <si>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</si>
  <si>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</si>
  <si>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</si>
  <si>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</si>
  <si>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</si>
  <si>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</si>
  <si>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</si>
  <si>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</si>
  <si>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</si>
  <si>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</si>
  <si>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</si>
  <si>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</si>
  <si>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</si>
  <si>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</si>
  <si>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</si>
  <si>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</si>
  <si>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</si>
  <si>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</si>
  <si>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</si>
  <si>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</si>
  <si>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</si>
  <si>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</si>
  <si>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</si>
  <si>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</si>
  <si>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</si>
  <si>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</si>
  <si>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</si>
  <si>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</si>
  <si>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</si>
  <si>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</si>
  <si>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</si>
  <si>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</si>
  <si>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</si>
  <si>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</si>
  <si>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</si>
  <si>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</si>
  <si>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</si>
  <si>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</si>
  <si>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</si>
  <si>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</si>
  <si>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</si>
  <si>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</si>
  <si>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</si>
  <si>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</si>
  <si>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</si>
  <si>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</si>
  <si>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</si>
  <si>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</si>
  <si>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</si>
  <si>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</si>
  <si>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</si>
  <si>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</si>
  <si>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</si>
  <si>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</si>
  <si>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</si>
  <si>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</si>
  <si>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</si>
  <si>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</si>
  <si>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</si>
  <si>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</si>
  <si>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</si>
  <si>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</si>
  <si>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</si>
  <si>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</si>
  <si>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</si>
  <si>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</si>
  <si>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</si>
  <si>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</si>
  <si>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</si>
  <si>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</si>
  <si>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</si>
  <si>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</si>
  <si>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</si>
  <si>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</si>
  <si>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</si>
  <si>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</si>
  <si>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</si>
  <si>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</si>
  <si>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</si>
  <si>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</si>
  <si>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</si>
  <si>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</si>
  <si>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</si>
  <si>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</si>
  <si>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</si>
  <si>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</si>
  <si>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</si>
  <si>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</si>
  <si>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</si>
  <si>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</si>
  <si>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</si>
  <si>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</si>
  <si>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</si>
  <si>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</si>
  <si>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</si>
  <si>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</si>
  <si>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</si>
  <si>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</si>
  <si>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</si>
  <si>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</si>
  <si>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</si>
  <si>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</si>
  <si>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</si>
  <si>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</si>
  <si>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</si>
  <si>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</si>
  <si>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</si>
  <si>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</si>
  <si>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</si>
  <si>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</si>
  <si>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</si>
  <si>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</si>
  <si>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</si>
  <si>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</si>
  <si>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</si>
  <si>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</si>
  <si>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</si>
  <si>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</si>
  <si>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</si>
  <si>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</si>
  <si>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</si>
  <si>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</si>
  <si>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</si>
  <si>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</si>
  <si>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</si>
  <si>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</si>
  <si>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</si>
  <si>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</si>
  <si>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</si>
  <si>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</si>
  <si>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</si>
  <si>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</si>
  <si>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</si>
  <si>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</si>
  <si>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</si>
  <si>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</si>
  <si>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</si>
  <si>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</si>
  <si>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</si>
  <si>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</si>
  <si>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</si>
  <si>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</si>
  <si>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</si>
  <si>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</si>
  <si>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</si>
  <si>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</si>
  <si>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</si>
  <si>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</si>
  <si>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</si>
  <si>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</si>
  <si>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</si>
  <si>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</si>
  <si>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</si>
  <si>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</si>
  <si>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</si>
  <si>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</si>
  <si>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</si>
  <si>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</si>
  <si>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</si>
  <si>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</si>
  <si>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</si>
  <si>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</si>
  <si>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</si>
  <si>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</si>
  <si>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</si>
  <si>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</si>
  <si>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</si>
  <si>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</si>
  <si>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</si>
  <si>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</si>
  <si>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</si>
  <si>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</si>
  <si>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</si>
  <si>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</si>
  <si>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</si>
  <si>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</si>
  <si>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</si>
  <si>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</si>
  <si>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</si>
  <si>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</si>
  <si>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</si>
  <si>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</si>
  <si>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</si>
  <si>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</si>
  <si>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</si>
  <si>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</si>
  <si>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</si>
  <si>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</si>
  <si>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</si>
  <si>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</si>
  <si>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</si>
  <si>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</si>
  <si>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</si>
  <si>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</si>
  <si>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</si>
  <si>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</si>
  <si>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</si>
  <si>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</si>
  <si>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</si>
  <si>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</si>
  <si>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</si>
  <si>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</si>
  <si>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</si>
  <si>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</si>
  <si>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</si>
  <si>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</si>
  <si>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</si>
  <si>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</si>
  <si>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</si>
  <si>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</si>
  <si>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</si>
  <si>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</si>
  <si>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</si>
  <si>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</si>
  <si>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</si>
  <si>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</si>
  <si>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</si>
  <si>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</si>
  <si>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</si>
  <si>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</si>
  <si>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</si>
  <si>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</si>
  <si>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</si>
  <si>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</si>
  <si>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</si>
  <si>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</si>
  <si>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</si>
  <si>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</si>
  <si>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</si>
  <si>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</si>
  <si>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</si>
  <si>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</si>
  <si>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</si>
  <si>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</si>
  <si>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</si>
  <si>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</si>
  <si>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</si>
  <si>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</si>
  <si>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</si>
  <si>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</si>
  <si>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</si>
  <si>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</si>
  <si>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</si>
  <si>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</si>
  <si>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</si>
  <si>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</si>
  <si>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</si>
  <si>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</si>
  <si>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</si>
  <si>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</si>
  <si>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</si>
  <si>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</si>
  <si>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</si>
  <si>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</si>
  <si>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</si>
  <si>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</si>
  <si>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</si>
  <si>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</si>
  <si>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</si>
  <si>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</si>
  <si>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</si>
  <si>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</si>
  <si>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</si>
  <si>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</si>
  <si>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</si>
  <si>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</si>
  <si>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</si>
  <si>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</si>
  <si>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</si>
  <si>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</si>
  <si>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</si>
  <si>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</si>
  <si>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</si>
  <si>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</si>
  <si>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</si>
  <si>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</si>
  <si>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</si>
  <si>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</si>
  <si>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</si>
  <si>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</si>
  <si>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</si>
  <si>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</si>
  <si>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</si>
  <si>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</si>
  <si>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</si>
  <si>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</si>
  <si>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</si>
  <si>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</si>
  <si>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</si>
  <si>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</si>
  <si>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</si>
  <si>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</si>
  <si>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</si>
  <si>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</si>
  <si>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</si>
  <si>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</si>
  <si>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</si>
  <si>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</si>
  <si>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</si>
  <si>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</si>
  <si>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</si>
  <si>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</si>
  <si>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</si>
  <si>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</si>
  <si>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</si>
  <si>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</si>
  <si>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</si>
  <si>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</si>
  <si>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</si>
  <si>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</si>
  <si>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</si>
  <si>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</si>
  <si>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</si>
  <si>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</si>
  <si>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</si>
  <si>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</si>
  <si>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</si>
  <si>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</si>
  <si>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</si>
  <si>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</si>
  <si>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</si>
  <si>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</si>
  <si>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</si>
  <si>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</si>
  <si>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</si>
  <si>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</si>
  <si>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</si>
  <si>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</si>
  <si>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</si>
  <si>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</si>
  <si>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</si>
  <si>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</si>
  <si>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</si>
  <si>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</si>
  <si>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</si>
  <si>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</si>
  <si>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</si>
  <si>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</si>
  <si>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</si>
  <si>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</si>
  <si>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</si>
  <si>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</si>
  <si>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</si>
  <si>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</si>
  <si>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</si>
  <si>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</si>
  <si>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</si>
  <si>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</si>
  <si>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</si>
  <si>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</si>
  <si>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</si>
  <si>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</si>
  <si>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</si>
  <si>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</si>
  <si>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</si>
  <si>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</si>
  <si>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</si>
  <si>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</si>
  <si>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</si>
  <si>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</si>
  <si>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</si>
  <si>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</si>
  <si>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</si>
  <si>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</si>
  <si>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</si>
  <si>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</si>
  <si>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</si>
  <si>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</si>
  <si>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</si>
  <si>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</si>
  <si>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</si>
  <si>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</si>
  <si>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</si>
  <si>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</si>
  <si>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</si>
  <si>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</si>
  <si>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</si>
  <si>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</si>
  <si>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</si>
  <si>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</si>
  <si>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</si>
  <si>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</si>
  <si>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</si>
  <si>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</si>
  <si>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</si>
  <si>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</si>
  <si>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</si>
  <si>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</si>
  <si>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</si>
  <si>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</si>
  <si>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</si>
  <si>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</si>
  <si>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</si>
  <si>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</si>
  <si>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</si>
  <si>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</si>
  <si>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</si>
  <si>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</si>
  <si>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</si>
  <si>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</si>
  <si>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</si>
  <si>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</si>
  <si>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</si>
  <si>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</si>
  <si>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</si>
  <si>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</si>
  <si>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</si>
  <si>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</si>
  <si>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</si>
  <si>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</si>
  <si>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</si>
  <si>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</si>
  <si>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</si>
  <si>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</si>
  <si>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</si>
  <si>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</si>
  <si>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</si>
  <si>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</si>
  <si>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</si>
  <si>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</si>
  <si>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</si>
  <si>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</si>
  <si>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</si>
  <si>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</si>
  <si>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</si>
  <si>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</si>
  <si>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</si>
  <si>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</si>
  <si>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</si>
  <si>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</si>
  <si>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</si>
  <si>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</si>
  <si>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</si>
  <si>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</si>
  <si>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</si>
  <si>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</si>
  <si>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</si>
  <si>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</si>
  <si>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</si>
  <si>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</si>
  <si>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</si>
  <si>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</si>
  <si>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</si>
  <si>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</si>
  <si>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</si>
  <si>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</si>
  <si>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</si>
  <si>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</si>
  <si>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</si>
  <si>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</si>
  <si>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</si>
  <si>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</si>
  <si>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</si>
  <si>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</si>
  <si>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</si>
  <si>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</si>
  <si>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</si>
  <si>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</si>
  <si>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</si>
  <si>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</si>
  <si>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</si>
  <si>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</si>
  <si>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</si>
  <si>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</si>
  <si>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</si>
  <si>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</si>
  <si>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</si>
  <si>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</si>
  <si>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</si>
  <si>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</si>
  <si>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</si>
  <si>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</si>
  <si>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</si>
  <si>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</si>
  <si>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</si>
  <si>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</si>
  <si>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</si>
  <si>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</si>
  <si>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</si>
  <si>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</si>
  <si>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</si>
  <si>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</si>
  <si>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</si>
  <si>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</si>
  <si>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</si>
  <si>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</si>
  <si>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</si>
  <si>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</si>
  <si>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</si>
  <si>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</si>
  <si>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</si>
  <si>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</si>
  <si>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</si>
  <si>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</si>
  <si>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</si>
  <si>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</si>
  <si>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</si>
  <si>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</si>
  <si>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</si>
  <si>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</si>
  <si>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</si>
  <si>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</si>
  <si>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</si>
  <si>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</si>
  <si>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</si>
  <si>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</si>
  <si>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</si>
  <si>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</si>
  <si>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</si>
  <si>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</si>
  <si>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</si>
  <si>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</si>
  <si>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</si>
  <si>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</si>
  <si>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</si>
  <si>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</si>
  <si>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</si>
  <si>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</si>
  <si>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</si>
  <si>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</si>
  <si>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</si>
  <si>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</si>
  <si>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</si>
  <si>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</si>
  <si>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</si>
  <si>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</si>
  <si>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</si>
  <si>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</si>
  <si>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</si>
  <si>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</si>
  <si>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</si>
  <si>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</si>
  <si>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</si>
  <si>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</si>
  <si>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</si>
  <si>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</si>
  <si>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</si>
  <si>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</si>
  <si>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</si>
  <si>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</si>
  <si>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</si>
  <si>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</si>
  <si>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</si>
  <si>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</si>
  <si>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</si>
  <si>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</si>
  <si>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</si>
  <si>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</si>
  <si>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</si>
  <si>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</si>
  <si>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</si>
  <si>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</si>
  <si>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</si>
  <si>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</si>
  <si>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</si>
  <si>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</si>
  <si>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</si>
  <si>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</si>
  <si>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</si>
  <si>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</si>
  <si>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</si>
  <si>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</si>
  <si>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</si>
  <si>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</si>
  <si>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</si>
  <si>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</si>
  <si>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</si>
  <si>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</si>
  <si>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</si>
  <si>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</si>
  <si>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</si>
  <si>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</si>
  <si>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</si>
  <si>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</si>
  <si>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</si>
  <si>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</si>
  <si>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</si>
  <si>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</si>
  <si>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</si>
  <si>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</si>
  <si>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</si>
  <si>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</si>
  <si>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</si>
  <si>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</si>
  <si>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</si>
  <si>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</si>
  <si>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</si>
  <si>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</si>
  <si>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</si>
  <si>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</si>
  <si>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</si>
  <si>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</si>
  <si>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</si>
  <si>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</si>
  <si>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</si>
  <si>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</si>
  <si>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</si>
  <si>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</si>
  <si>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</si>
  <si>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</si>
  <si>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</si>
  <si>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</si>
  <si>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</si>
  <si>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</si>
  <si>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</si>
  <si>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</si>
  <si>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</si>
  <si>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</si>
  <si>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</si>
  <si>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</si>
  <si>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</si>
  <si>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</si>
  <si>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</si>
  <si>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</si>
  <si>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</si>
  <si>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</si>
  <si>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</si>
  <si>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</si>
  <si>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</si>
  <si>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</si>
  <si>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</si>
  <si>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</si>
  <si>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</si>
  <si>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</si>
  <si>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</si>
  <si>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</si>
  <si>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</si>
  <si>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</si>
  <si>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</si>
  <si>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</si>
  <si>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</si>
  <si>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</si>
  <si>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</si>
  <si>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</si>
  <si>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</si>
  <si>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</si>
  <si>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</si>
  <si>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</si>
  <si>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</si>
  <si>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</si>
  <si>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</si>
  <si>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</si>
  <si>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</si>
  <si>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</si>
  <si>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</si>
  <si>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</si>
  <si>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</si>
  <si>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</si>
  <si>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</si>
  <si>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</si>
  <si>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</si>
  <si>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</si>
  <si>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</si>
  <si>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</si>
  <si>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</si>
  <si>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</si>
  <si>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</si>
  <si>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</si>
  <si>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</si>
  <si>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</si>
  <si>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</si>
  <si>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</si>
  <si>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</si>
  <si>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</si>
  <si>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</si>
  <si>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</si>
  <si>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</si>
  <si>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</si>
  <si>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</si>
  <si>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</si>
  <si>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</si>
  <si>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</si>
  <si>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</si>
  <si>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</si>
  <si>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</si>
  <si>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</si>
  <si>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</si>
  <si>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</si>
  <si>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</si>
  <si>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</si>
  <si>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</si>
  <si>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</si>
  <si>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</si>
  <si>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</si>
  <si>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</si>
  <si>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</si>
  <si>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</si>
  <si>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</si>
  <si>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</si>
  <si>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</si>
  <si>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</si>
  <si>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</si>
  <si>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</si>
  <si>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</si>
  <si>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</si>
  <si>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</si>
  <si>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</si>
  <si>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</si>
  <si>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</si>
  <si>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</si>
  <si>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</si>
  <si>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</si>
  <si>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</si>
  <si>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</si>
  <si>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</si>
  <si>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</si>
  <si>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</si>
  <si>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</si>
  <si>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</si>
  <si>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</si>
  <si>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</si>
  <si>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</si>
  <si>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</si>
  <si>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</si>
  <si>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</si>
  <si>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</si>
  <si>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</si>
  <si>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</si>
  <si>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</si>
  <si>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</si>
  <si>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</si>
  <si>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</si>
  <si>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</si>
  <si>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</si>
  <si>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</si>
  <si>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</si>
  <si>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</si>
  <si>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</si>
  <si>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</si>
  <si>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</si>
  <si>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</si>
  <si>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</si>
  <si>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</si>
  <si>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</si>
  <si>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</si>
  <si>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</si>
  <si>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</si>
  <si>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</si>
  <si>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</si>
  <si>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</si>
  <si>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</si>
  <si>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</si>
  <si>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</si>
  <si>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</si>
  <si>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</si>
  <si>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</si>
  <si>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</si>
  <si>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</si>
  <si>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</si>
  <si>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</si>
  <si>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</si>
  <si>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</si>
  <si>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</si>
  <si>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</si>
  <si>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</si>
  <si>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</si>
  <si>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</si>
  <si>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</si>
  <si>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</si>
  <si>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</si>
  <si>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</si>
  <si>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</si>
  <si>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</si>
  <si>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</si>
  <si>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</si>
  <si>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</si>
  <si>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</si>
  <si>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</si>
  <si>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</si>
  <si>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</si>
  <si>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</si>
  <si>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</si>
  <si>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</si>
  <si>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</si>
  <si>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</si>
  <si>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</si>
  <si>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</si>
  <si>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</si>
  <si>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</si>
  <si>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</si>
  <si>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</si>
  <si>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</si>
  <si>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</si>
  <si>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</si>
  <si>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</si>
  <si>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</si>
  <si>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</si>
  <si>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</si>
  <si>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</si>
  <si>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</si>
  <si>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</si>
  <si>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</si>
  <si>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</si>
  <si>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</si>
  <si>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</si>
  <si>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</si>
  <si>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</si>
  <si>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</si>
  <si>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</si>
  <si>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</si>
  <si>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</si>
  <si>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</si>
  <si>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</si>
  <si>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</si>
  <si>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</si>
  <si>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</si>
  <si>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</si>
  <si>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</si>
  <si>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</si>
  <si>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</si>
  <si>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</si>
  <si>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</si>
  <si>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</si>
  <si>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</si>
  <si>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</si>
  <si>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</si>
  <si>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</si>
  <si>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</si>
  <si>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</si>
  <si>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</si>
  <si>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</si>
  <si>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</si>
  <si>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</si>
  <si>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</si>
  <si>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</si>
  <si>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</si>
  <si>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</si>
  <si>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</si>
  <si>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</si>
  <si>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</si>
  <si>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</si>
  <si>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</si>
  <si>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</si>
  <si>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</si>
  <si>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</si>
  <si>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</si>
  <si>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</si>
  <si>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</si>
  <si>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</si>
  <si>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</si>
  <si>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</si>
  <si>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</si>
  <si>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</si>
  <si>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</si>
  <si>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</si>
  <si>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</si>
  <si>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</si>
  <si>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</si>
  <si>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</si>
  <si>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</si>
  <si>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</si>
  <si>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</si>
  <si>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</si>
  <si>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</si>
  <si>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</si>
  <si>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</si>
  <si>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</si>
  <si>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</si>
  <si>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</si>
  <si>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</si>
  <si>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</si>
  <si>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</si>
  <si>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</si>
  <si>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</si>
  <si>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</si>
  <si>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</si>
  <si>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</si>
  <si>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</si>
  <si>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</si>
  <si>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</si>
  <si>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</si>
  <si>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</si>
  <si>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</si>
  <si>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</si>
  <si>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</si>
  <si>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</si>
  <si>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</si>
  <si>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</si>
  <si>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</si>
  <si>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</si>
  <si>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</si>
  <si>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</si>
  <si>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</si>
  <si>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</si>
  <si>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</si>
  <si>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</si>
  <si>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</si>
  <si>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</si>
  <si>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</si>
  <si>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</si>
  <si>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</si>
  <si>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</si>
  <si>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</si>
  <si>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</si>
  <si>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</si>
  <si>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</si>
  <si>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</si>
  <si>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</si>
  <si>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</si>
  <si>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</si>
  <si>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</si>
  <si>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</si>
  <si>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</si>
  <si>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</si>
  <si>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</si>
  <si>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</si>
  <si>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</si>
  <si>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</si>
  <si>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</si>
  <si>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</si>
  <si>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</si>
  <si>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</si>
  <si>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</si>
  <si>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</si>
  <si>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</si>
  <si>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</si>
  <si>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</si>
  <si>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</si>
  <si>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</si>
  <si>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</si>
  <si>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</si>
  <si>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</si>
  <si>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</si>
  <si>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</si>
  <si>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</si>
  <si>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</si>
  <si>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</si>
  <si>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</si>
  <si>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</si>
  <si>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</si>
  <si>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</si>
  <si>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</si>
  <si>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</si>
  <si>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</si>
  <si>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</si>
  <si>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</si>
  <si>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</si>
  <si>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</si>
  <si>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</si>
  <si>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</si>
  <si>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</si>
  <si>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</si>
  <si>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</si>
  <si>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</si>
  <si>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</si>
  <si>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</si>
  <si>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</si>
  <si>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</si>
  <si>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</si>
  <si>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</si>
  <si>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</si>
  <si>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</si>
  <si>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</si>
  <si>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</si>
  <si>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</si>
  <si>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</si>
  <si>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</si>
  <si>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</si>
  <si>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</si>
  <si>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</si>
  <si>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</si>
  <si>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</si>
  <si>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</si>
  <si>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</si>
  <si>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</si>
  <si>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</si>
  <si>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</si>
  <si>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</si>
  <si>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</si>
  <si>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</si>
  <si>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</si>
  <si>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</si>
  <si>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</si>
  <si>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</si>
  <si>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</si>
  <si>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</si>
  <si>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</si>
  <si>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</si>
  <si>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</si>
  <si>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</si>
  <si>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</si>
  <si>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</si>
  <si>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</si>
  <si>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</si>
  <si>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</si>
  <si>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</si>
  <si>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</si>
  <si>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</si>
  <si>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</si>
  <si>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</si>
  <si>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</si>
  <si>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</si>
  <si>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</si>
  <si>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</si>
  <si>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</si>
  <si>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</si>
  <si>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</si>
  <si>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</si>
  <si>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</si>
  <si>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</si>
  <si>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</si>
  <si>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</si>
  <si>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</si>
  <si>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</si>
  <si>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</si>
  <si>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</si>
  <si>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</si>
  <si>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</si>
  <si>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</si>
  <si>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</si>
  <si>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</si>
  <si>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</si>
  <si>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</si>
  <si>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</si>
  <si>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</si>
  <si>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</si>
  <si>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</si>
  <si>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</si>
  <si>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</si>
  <si>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</si>
  <si>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</si>
  <si>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</si>
  <si>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</si>
  <si>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</si>
  <si>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</si>
  <si>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</si>
  <si>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</si>
  <si>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</si>
  <si>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</si>
  <si>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</si>
  <si>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</si>
  <si>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</si>
  <si>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</si>
  <si>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</si>
  <si>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</si>
  <si>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</si>
  <si>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</si>
  <si>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</si>
  <si>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</si>
  <si>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</si>
  <si>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</si>
  <si>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</si>
  <si>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</si>
  <si>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</si>
  <si>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</si>
  <si>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</si>
  <si>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</si>
  <si>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</si>
  <si>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</si>
  <si>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</si>
  <si>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</si>
  <si>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</si>
  <si>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</si>
  <si>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</si>
  <si>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</si>
  <si>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</si>
  <si>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</si>
  <si>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</si>
  <si>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</si>
  <si>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</si>
  <si>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</si>
  <si>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</si>
  <si>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</si>
  <si>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</si>
  <si>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</si>
  <si>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</si>
  <si>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</si>
  <si>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</si>
  <si>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</si>
  <si>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</si>
  <si>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</si>
  <si>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</si>
  <si>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</si>
  <si>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</si>
  <si>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</si>
  <si>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</si>
  <si>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</si>
  <si>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</si>
  <si>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</si>
  <si>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</si>
  <si>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</si>
  <si>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</si>
  <si>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</si>
  <si>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</si>
  <si>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</si>
  <si>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</si>
  <si>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</si>
  <si>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</si>
  <si>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</si>
  <si>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</si>
  <si>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</si>
  <si>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</si>
  <si>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</si>
  <si>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</si>
  <si>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</si>
  <si>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</si>
  <si>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</si>
  <si>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</si>
  <si>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</si>
  <si>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</si>
  <si>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</si>
  <si>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</si>
  <si>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</si>
  <si>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</si>
  <si>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</si>
  <si>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</si>
  <si>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</si>
  <si>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</si>
  <si>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</si>
  <si>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</si>
  <si>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</si>
  <si>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</si>
  <si>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</si>
  <si>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</si>
  <si>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</si>
  <si>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</si>
  <si>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</si>
  <si>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</si>
  <si>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</si>
  <si>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</si>
  <si>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</si>
  <si>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</si>
  <si>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</si>
  <si>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</si>
  <si>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</si>
  <si>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</si>
  <si>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</si>
  <si>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</si>
  <si>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</si>
  <si>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</si>
  <si>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</si>
  <si>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</si>
  <si>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</si>
  <si>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</si>
  <si>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</si>
  <si>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</si>
  <si>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</si>
  <si>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</si>
  <si>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</si>
  <si>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</si>
  <si>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</si>
  <si>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</si>
  <si>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</si>
  <si>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</si>
  <si>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</si>
  <si>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</si>
  <si>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</si>
  <si>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</si>
  <si>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</si>
  <si>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</si>
  <si>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</si>
  <si>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</si>
  <si>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</si>
  <si>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</si>
  <si>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</si>
  <si>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</si>
  <si>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</si>
  <si>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</si>
  <si>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</si>
  <si>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</si>
  <si>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</si>
  <si>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</si>
  <si>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</si>
  <si>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</si>
  <si>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</si>
  <si>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</si>
  <si>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</si>
  <si>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</si>
  <si>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</si>
  <si>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</si>
  <si>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</si>
  <si>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</si>
  <si>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</si>
  <si>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</si>
  <si>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</si>
  <si>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</si>
  <si>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</si>
  <si>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</si>
  <si>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</si>
  <si>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</si>
  <si>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</si>
  <si>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</si>
  <si>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</si>
  <si>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</si>
  <si>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</si>
  <si>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</si>
  <si>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</si>
  <si>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</si>
  <si>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</si>
  <si>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</si>
  <si>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</si>
  <si>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</si>
  <si>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</si>
  <si>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</si>
  <si>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</si>
  <si>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</si>
  <si>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</si>
  <si>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</si>
  <si>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</si>
  <si>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</si>
  <si>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</si>
  <si>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</si>
  <si>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</si>
  <si>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</si>
  <si>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</si>
  <si>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</si>
  <si>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</si>
  <si>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</si>
  <si>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</si>
  <si>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</si>
  <si>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</si>
  <si>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</si>
  <si>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</si>
  <si>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</si>
  <si>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</si>
  <si>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</si>
  <si>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</si>
  <si>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</si>
  <si>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</si>
  <si>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</si>
  <si>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</si>
  <si>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</si>
  <si>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</si>
  <si>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</si>
  <si>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</si>
  <si>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</si>
  <si>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</si>
  <si>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</si>
  <si>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</si>
  <si>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</si>
  <si>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</si>
  <si>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</si>
  <si>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</si>
  <si>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</si>
  <si>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</si>
  <si>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</si>
  <si>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</si>
  <si>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</si>
  <si>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</si>
  <si>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</si>
  <si>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</si>
  <si>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</si>
  <si>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</si>
  <si>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</si>
  <si>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</si>
  <si>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</si>
  <si>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</si>
  <si>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</si>
  <si>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</si>
  <si>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</si>
  <si>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</si>
  <si>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</si>
  <si>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</si>
  <si>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</si>
  <si>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</si>
  <si>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</si>
  <si>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</si>
  <si>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</si>
  <si>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</si>
  <si>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</si>
  <si>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</si>
  <si>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</si>
  <si>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</si>
  <si>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</si>
  <si>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</si>
  <si>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</si>
  <si>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</si>
  <si>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</si>
  <si>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</si>
  <si>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</si>
  <si>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</si>
  <si>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</si>
  <si>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</si>
  <si>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</si>
  <si>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</si>
  <si>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</si>
  <si>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</si>
  <si>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</si>
  <si>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</si>
  <si>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</si>
  <si>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</si>
  <si>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</si>
  <si>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</si>
  <si>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</si>
  <si>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</si>
  <si>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</si>
  <si>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</si>
  <si>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</si>
  <si>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</si>
  <si>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</si>
  <si>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</si>
  <si>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</si>
  <si>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</si>
  <si>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</si>
  <si>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</si>
  <si>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</si>
  <si>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</si>
  <si>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</si>
  <si>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</si>
  <si>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</si>
  <si>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</si>
  <si>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</si>
  <si>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</si>
  <si>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</si>
  <si>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</si>
  <si>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</si>
  <si>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</si>
  <si>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</si>
  <si>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</si>
  <si>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</si>
  <si>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</si>
  <si>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</si>
  <si>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</si>
  <si>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</si>
  <si>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</si>
  <si>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</si>
  <si>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</si>
  <si>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</si>
  <si>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</si>
  <si>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</si>
  <si>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</si>
  <si>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</si>
  <si>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</si>
  <si>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</si>
  <si>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</si>
  <si>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</si>
  <si>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</si>
  <si>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</si>
  <si>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</si>
  <si>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</si>
  <si>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</si>
  <si>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</si>
  <si>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</si>
  <si>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</si>
  <si>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</si>
  <si>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</si>
  <si>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</si>
  <si>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</si>
  <si>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</si>
  <si>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</si>
  <si>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</si>
  <si>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</si>
  <si>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</si>
  <si>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</si>
  <si>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</si>
  <si>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</si>
  <si>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</si>
  <si>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</si>
  <si>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</si>
  <si>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</si>
  <si>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</si>
  <si>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</si>
  <si>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</si>
  <si>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</si>
  <si>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</si>
  <si>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</si>
  <si>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</si>
  <si>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</si>
  <si>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</si>
  <si>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</si>
  <si>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</si>
  <si>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</si>
  <si>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</si>
  <si>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</si>
  <si>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</si>
  <si>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</si>
  <si>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</si>
  <si>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</si>
  <si>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</si>
  <si>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</si>
  <si>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</si>
  <si>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</si>
  <si>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</si>
  <si>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</si>
  <si>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</si>
  <si>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</si>
  <si>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</si>
  <si>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</si>
  <si>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</si>
  <si>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</si>
  <si>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</si>
  <si>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</si>
  <si>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</si>
  <si>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</si>
  <si>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</si>
  <si>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</si>
  <si>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</si>
  <si>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</si>
  <si>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</si>
  <si>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</si>
  <si>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</si>
  <si>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</si>
  <si>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</si>
  <si>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</si>
  <si>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</si>
  <si>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</si>
  <si>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</si>
  <si>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</si>
  <si>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</si>
  <si>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</si>
  <si>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</si>
  <si>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</si>
  <si>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</si>
  <si>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</si>
  <si>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</si>
  <si>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</si>
  <si>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</si>
  <si>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</si>
  <si>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</si>
  <si>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</si>
  <si>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</si>
  <si>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</si>
  <si>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</si>
  <si>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</si>
  <si>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</si>
  <si>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</si>
  <si>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</si>
  <si>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</si>
  <si>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</si>
  <si>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</si>
  <si>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</si>
  <si>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</si>
  <si>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</si>
  <si>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</si>
  <si>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</si>
  <si>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</si>
  <si>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</si>
  <si>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</si>
  <si>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</si>
  <si>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</si>
  <si>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</si>
  <si>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</si>
  <si>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</si>
  <si>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</si>
  <si>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</si>
  <si>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</si>
  <si>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</si>
  <si>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</si>
  <si>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</si>
  <si>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</si>
  <si>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</si>
  <si>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</si>
  <si>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</si>
  <si>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</si>
  <si>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</si>
  <si>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</si>
  <si>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</si>
  <si>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</si>
  <si>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</si>
  <si>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</si>
  <si>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</si>
  <si>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</si>
  <si>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</si>
  <si>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</si>
  <si>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</si>
  <si>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</si>
  <si>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</si>
  <si>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</si>
  <si>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</si>
  <si>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</si>
  <si>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</si>
  <si>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</si>
  <si>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</si>
  <si>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</si>
  <si>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</si>
  <si>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</si>
  <si>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</si>
  <si>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</si>
  <si>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</si>
  <si>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</si>
  <si>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</si>
  <si>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</si>
  <si>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</si>
  <si>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</si>
  <si>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</si>
  <si>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</si>
  <si>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</si>
  <si>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</si>
  <si>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</si>
  <si>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</si>
  <si>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</si>
  <si>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</si>
  <si>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</si>
  <si>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</si>
  <si>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</si>
  <si>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</si>
  <si>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</si>
  <si>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</si>
  <si>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</si>
  <si>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</si>
  <si>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</si>
  <si>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</si>
  <si>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</si>
  <si>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</si>
  <si>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</si>
  <si>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</si>
  <si>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</si>
  <si>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</si>
  <si>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</si>
  <si>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</si>
  <si>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</si>
  <si>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</si>
  <si>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</si>
  <si>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</si>
  <si>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</si>
  <si>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</si>
  <si>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</si>
  <si>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</si>
  <si>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</si>
  <si>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</si>
  <si>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</si>
  <si>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</si>
  <si>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</si>
  <si>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</si>
  <si>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</si>
  <si>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</si>
  <si>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</si>
  <si>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</si>
  <si>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</si>
  <si>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</si>
  <si>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</si>
  <si>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</si>
  <si>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</si>
  <si>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</si>
  <si>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</si>
  <si>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</si>
  <si>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</si>
  <si>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</si>
  <si>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</si>
  <si>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</si>
  <si>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</si>
  <si>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</si>
  <si>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</si>
  <si>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</si>
  <si>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</si>
  <si>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</si>
  <si>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</si>
  <si>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</si>
  <si>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</si>
  <si>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</si>
  <si>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</si>
  <si>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</si>
  <si>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</si>
  <si>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</si>
  <si>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</si>
  <si>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</si>
  <si>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</si>
  <si>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</si>
  <si>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</si>
  <si>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</si>
  <si>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</si>
  <si>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</si>
  <si>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</si>
  <si>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</si>
  <si>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</si>
  <si>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</si>
  <si>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</si>
  <si>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</si>
  <si>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</si>
  <si>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</si>
  <si>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</si>
  <si>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</si>
  <si>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</si>
  <si>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</si>
  <si>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</si>
  <si>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</si>
  <si>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</si>
  <si>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</si>
  <si>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</si>
  <si>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</si>
  <si>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</si>
  <si>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</si>
  <si>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</si>
  <si>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</si>
  <si>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</si>
  <si>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</si>
  <si>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</si>
  <si>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</si>
  <si>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</si>
  <si>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</si>
  <si>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</si>
  <si>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</si>
  <si>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</si>
  <si>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</si>
  <si>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</si>
  <si>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</si>
  <si>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</si>
  <si>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</si>
  <si>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</si>
  <si>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</si>
  <si>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</si>
  <si>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</si>
  <si>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</si>
  <si>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</si>
  <si>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</si>
  <si>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</si>
  <si>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</si>
  <si>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</si>
  <si>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</si>
  <si>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</si>
  <si>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</si>
  <si>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</si>
  <si>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</si>
  <si>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</si>
  <si>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</si>
  <si>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</si>
  <si>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</si>
  <si>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</si>
  <si>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</si>
  <si>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</si>
  <si>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</si>
  <si>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</si>
  <si>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</si>
  <si>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</si>
  <si>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</si>
  <si>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</si>
  <si>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</si>
  <si>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</si>
  <si>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</si>
  <si>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</si>
  <si>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</si>
  <si>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</si>
  <si>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</si>
  <si>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</si>
  <si>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</si>
  <si>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</si>
  <si>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</si>
  <si>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</si>
  <si>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</si>
  <si>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</si>
  <si>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</si>
  <si>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</si>
  <si>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</si>
  <si>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</si>
  <si>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</si>
  <si>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</si>
  <si>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</si>
  <si>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</si>
  <si>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</si>
  <si>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</si>
  <si>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</si>
  <si>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</si>
  <si>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</si>
  <si>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</si>
  <si>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</si>
  <si>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</si>
  <si>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</si>
  <si>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</si>
  <si>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</si>
  <si>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</si>
  <si>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</si>
  <si>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</si>
  <si>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</si>
  <si>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</si>
  <si>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</si>
  <si>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</si>
  <si>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</si>
  <si>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</si>
  <si>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</si>
  <si>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</si>
  <si>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</si>
  <si>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</si>
  <si>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</si>
  <si>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</si>
  <si>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</si>
  <si>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</si>
  <si>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</si>
  <si>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</si>
  <si>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</si>
  <si>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</si>
  <si>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</si>
  <si>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</si>
  <si>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</si>
  <si>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</si>
  <si>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</si>
  <si>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</si>
  <si>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</si>
  <si>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</si>
  <si>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</si>
  <si>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</si>
  <si>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</si>
  <si>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</si>
  <si>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</si>
  <si>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</si>
  <si>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</si>
  <si>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</si>
  <si>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</si>
  <si>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</si>
  <si>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</si>
  <si>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</si>
  <si>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</si>
  <si>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</si>
  <si>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</si>
  <si>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</si>
  <si>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</si>
  <si>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</si>
  <si>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</si>
  <si>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</si>
  <si>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</si>
  <si>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</si>
  <si>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</si>
  <si>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</si>
  <si>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</si>
  <si>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</si>
  <si>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</si>
  <si>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</si>
  <si>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</si>
  <si>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</si>
  <si>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</si>
  <si>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</si>
  <si>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</si>
  <si>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</si>
  <si>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</si>
  <si>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</si>
  <si>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</si>
  <si>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</si>
  <si>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</si>
  <si>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</si>
  <si>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</si>
  <si>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</si>
  <si>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</si>
  <si>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</si>
  <si>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</si>
  <si>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</si>
  <si>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</si>
  <si>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</si>
  <si>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</si>
  <si>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</si>
  <si>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</si>
  <si>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</si>
  <si>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</si>
  <si>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</si>
  <si>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</si>
  <si>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</si>
  <si>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</si>
  <si>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</si>
  <si>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</si>
  <si>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</si>
  <si>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</si>
  <si>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</si>
  <si>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</si>
  <si>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</si>
  <si>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</si>
  <si>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</si>
  <si>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</si>
  <si>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</si>
  <si>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</si>
  <si>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</si>
  <si>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</si>
  <si>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</si>
  <si>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</si>
  <si>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</si>
  <si>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</si>
  <si>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</si>
  <si>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</si>
  <si>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</si>
  <si>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</si>
  <si>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</si>
  <si>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</si>
  <si>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</si>
  <si>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</si>
  <si>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</si>
  <si>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</si>
  <si>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</si>
  <si>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</si>
  <si>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</si>
  <si>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</si>
  <si>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</si>
  <si>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</si>
  <si>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</si>
  <si>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</si>
  <si>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</si>
  <si>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</si>
  <si>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</si>
  <si>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</si>
  <si>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</si>
  <si>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</si>
  <si>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</si>
  <si>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</si>
  <si>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</si>
  <si>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</si>
  <si>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</si>
  <si>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</si>
  <si>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</si>
  <si>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</si>
  <si>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</si>
  <si>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</si>
  <si>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</si>
  <si>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</si>
  <si>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</si>
  <si>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</si>
  <si>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</si>
  <si>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</si>
  <si>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</si>
  <si>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</si>
  <si>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</si>
  <si>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</si>
  <si>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</si>
  <si>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</si>
  <si>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</si>
  <si>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</si>
  <si>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</si>
  <si>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</si>
  <si>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</si>
  <si>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</si>
  <si>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</si>
  <si>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</si>
  <si>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</si>
  <si>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</si>
  <si>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</si>
  <si>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</si>
  <si>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</si>
  <si>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</si>
  <si>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</si>
  <si>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</si>
  <si>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</si>
  <si>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</si>
  <si>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</si>
  <si>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</si>
  <si>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</si>
  <si>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</si>
  <si>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</si>
  <si>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</si>
  <si>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</si>
  <si>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</si>
  <si>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</si>
  <si>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</si>
  <si>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</si>
  <si>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</si>
  <si>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</si>
  <si>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</si>
  <si>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</si>
  <si>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</si>
  <si>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</si>
  <si>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</si>
  <si>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</si>
  <si>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</si>
  <si>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</si>
  <si>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</si>
  <si>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</si>
  <si>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</si>
  <si>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</si>
  <si>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</si>
  <si>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</si>
  <si>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</si>
  <si>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</si>
  <si>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</si>
  <si>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</si>
  <si>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</si>
  <si>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</si>
  <si>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</si>
  <si>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</si>
  <si>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</si>
  <si>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</si>
  <si>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</si>
  <si>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</si>
  <si>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</si>
  <si>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</si>
  <si>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</si>
  <si>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</si>
  <si>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</si>
  <si>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</si>
  <si>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</si>
  <si>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</si>
  <si>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</si>
  <si>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</si>
  <si>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</si>
  <si>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</si>
  <si>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</si>
  <si>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</si>
  <si>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</si>
  <si>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</si>
  <si>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</si>
  <si>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</si>
  <si>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</si>
  <si>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</si>
  <si>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</si>
  <si>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</si>
  <si>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</si>
  <si>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</si>
  <si>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</si>
  <si>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</si>
  <si>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</si>
  <si>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</si>
  <si>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</si>
  <si>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</si>
  <si>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</si>
  <si>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</si>
  <si>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</si>
  <si>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</si>
  <si>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</si>
  <si>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</si>
  <si>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</si>
  <si>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</si>
  <si>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</si>
  <si>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</si>
  <si>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</si>
  <si>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</si>
  <si>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</si>
  <si>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</si>
  <si>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</si>
  <si>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</si>
  <si>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</si>
  <si>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</si>
  <si>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</si>
  <si>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</si>
  <si>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</si>
  <si>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</si>
  <si>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</si>
  <si>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</si>
  <si>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</si>
  <si>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</si>
  <si>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</si>
  <si>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</si>
  <si>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</si>
  <si>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</si>
  <si>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</si>
  <si>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</si>
  <si>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</si>
  <si>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</si>
  <si>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</si>
  <si>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</si>
  <si>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</si>
  <si>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</si>
  <si>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</si>
  <si>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</si>
  <si>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</si>
  <si>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</si>
  <si>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</si>
  <si>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</si>
  <si>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</si>
  <si>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</si>
  <si>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</si>
  <si>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</si>
  <si>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</si>
  <si>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</si>
  <si>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</si>
  <si>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</si>
  <si>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</si>
  <si>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</si>
  <si>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</si>
  <si>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</si>
  <si>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</si>
  <si>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</si>
  <si>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</si>
  <si>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</si>
  <si>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</si>
  <si>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</si>
  <si>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</si>
  <si>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</si>
  <si>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</si>
  <si>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</si>
  <si>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</si>
  <si>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</si>
  <si>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</si>
  <si>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</si>
  <si>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</si>
  <si>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</si>
  <si>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</si>
  <si>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</si>
  <si>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</si>
  <si>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</si>
  <si>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</si>
  <si>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</si>
  <si>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</si>
  <si>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</si>
  <si>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</si>
  <si>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</si>
  <si>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</si>
  <si>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</si>
  <si>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</si>
  <si>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</si>
  <si>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</si>
  <si>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</si>
  <si>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</si>
  <si>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</si>
  <si>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</si>
  <si>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</si>
  <si>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</si>
  <si>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</si>
  <si>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</si>
  <si>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</si>
  <si>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</si>
  <si>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</si>
  <si>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</si>
  <si>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</si>
  <si>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</si>
  <si>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</si>
  <si>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</si>
  <si>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</si>
  <si>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</si>
  <si>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</si>
  <si>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</si>
  <si>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</si>
  <si>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</si>
  <si>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</si>
  <si>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</si>
  <si>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</si>
  <si>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</si>
  <si>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</si>
  <si>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</si>
  <si>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</si>
  <si>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</si>
  <si>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</si>
  <si>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</si>
  <si>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</si>
  <si>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</si>
  <si>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</si>
  <si>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</si>
  <si>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</si>
  <si>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</si>
  <si>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</si>
  <si>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</si>
  <si>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</si>
  <si>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</si>
  <si>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</si>
  <si>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</si>
  <si>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</si>
  <si>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</si>
  <si>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</si>
  <si>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</si>
  <si>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</si>
  <si>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</si>
  <si>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</si>
  <si>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</si>
  <si>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</si>
  <si>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</si>
  <si>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</si>
  <si>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</si>
  <si>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</si>
  <si>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</si>
  <si>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</si>
  <si>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</si>
  <si>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</si>
  <si>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</si>
  <si>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</si>
  <si>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</si>
  <si>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</si>
  <si>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</si>
  <si>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</si>
  <si>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</si>
  <si>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</si>
  <si>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</si>
  <si>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</si>
  <si>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</si>
  <si>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</si>
  <si>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</si>
  <si>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</si>
  <si>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</si>
  <si>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</si>
  <si>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</si>
  <si>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</si>
  <si>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</si>
  <si>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</si>
  <si>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</si>
  <si>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</si>
  <si>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</si>
  <si>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</si>
  <si>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</si>
  <si>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</si>
  <si>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</si>
  <si>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</si>
  <si>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</si>
  <si>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</si>
  <si>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</si>
  <si>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</si>
  <si>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</si>
  <si>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</si>
  <si>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</si>
  <si>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</si>
  <si>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</si>
  <si>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</si>
  <si>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</si>
  <si>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</si>
  <si>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</si>
  <si>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</si>
  <si>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</si>
  <si>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</si>
  <si>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</si>
  <si>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</si>
  <si>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</si>
  <si>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</si>
  <si>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</si>
  <si>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</si>
  <si>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</si>
  <si>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</si>
  <si>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</si>
  <si>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</si>
  <si>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</si>
  <si>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</si>
  <si>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</si>
  <si>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</si>
  <si>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</si>
  <si>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</si>
  <si>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</si>
  <si>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</si>
  <si>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</si>
  <si>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</si>
  <si>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</si>
  <si>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</si>
  <si>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</si>
  <si>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</si>
  <si>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</si>
  <si>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</si>
  <si>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</si>
  <si>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</si>
  <si>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</si>
  <si>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</si>
  <si>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</si>
  <si>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</si>
  <si>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</si>
  <si>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</si>
  <si>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</si>
  <si>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</si>
  <si>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</si>
  <si>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</si>
  <si>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</si>
  <si>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</si>
  <si>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</si>
  <si>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</si>
  <si>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</si>
  <si>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</si>
  <si>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</si>
  <si>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</si>
  <si>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</si>
  <si>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</si>
  <si>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</si>
  <si>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</si>
  <si>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</si>
  <si>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</si>
  <si>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</si>
  <si>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</si>
  <si>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</si>
  <si>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</si>
  <si>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</si>
  <si>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</si>
  <si>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</si>
  <si>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</si>
  <si>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</si>
  <si>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</si>
  <si>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</si>
  <si>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</si>
  <si>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</si>
  <si>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</si>
  <si>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</si>
  <si>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</si>
  <si>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</si>
  <si>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</si>
  <si>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</si>
  <si>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</si>
  <si>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</si>
  <si>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</si>
  <si>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</si>
  <si>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</si>
  <si>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</si>
  <si>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</si>
  <si>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</si>
  <si>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</si>
  <si>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</si>
  <si>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</si>
  <si>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</si>
  <si>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</si>
  <si>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</si>
  <si>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</si>
  <si>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</si>
  <si>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</si>
  <si>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</si>
  <si>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</si>
  <si>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</si>
  <si>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</si>
  <si>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</si>
  <si>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</si>
  <si>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</si>
  <si>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</si>
  <si>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</si>
  <si>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</si>
  <si>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</si>
  <si>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</si>
  <si>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</si>
  <si>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</si>
  <si>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</si>
  <si>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</si>
  <si>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</si>
  <si>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</si>
  <si>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</si>
  <si>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</si>
  <si>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</si>
  <si>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</si>
  <si>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</si>
  <si>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</si>
  <si>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</si>
  <si>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</si>
  <si>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</si>
  <si>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</si>
  <si>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</si>
  <si>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</si>
  <si>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</si>
  <si>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</si>
  <si>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</si>
  <si>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</si>
  <si>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</si>
  <si>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</si>
  <si>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</si>
  <si>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</si>
  <si>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</si>
  <si>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</si>
  <si>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</si>
  <si>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</si>
  <si>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</si>
  <si>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</si>
  <si>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</si>
  <si>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</si>
  <si>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</si>
  <si>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</si>
  <si>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</si>
  <si>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</si>
  <si>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</si>
  <si>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</si>
  <si>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</si>
  <si>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</si>
  <si>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</si>
  <si>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</si>
  <si>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</si>
  <si>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</si>
  <si>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</si>
  <si>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</si>
  <si>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</si>
  <si>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</si>
  <si>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</si>
  <si>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</si>
  <si>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</si>
  <si>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</si>
  <si>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</si>
  <si>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</si>
  <si>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</si>
  <si>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</si>
  <si>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</si>
  <si>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</si>
  <si>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</si>
  <si>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</si>
  <si>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</si>
  <si>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</si>
  <si>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</si>
  <si>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</si>
  <si>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</si>
  <si>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</si>
  <si>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</si>
  <si>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</si>
  <si>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</si>
  <si>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</si>
  <si>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</si>
  <si>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</si>
  <si>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</si>
  <si>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</si>
  <si>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</si>
  <si>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</si>
  <si>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</si>
  <si>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</si>
  <si>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</si>
  <si>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</si>
  <si>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</si>
  <si>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</si>
  <si>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</si>
  <si>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</si>
  <si>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</si>
  <si>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</si>
  <si>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</si>
  <si>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</si>
  <si>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</si>
  <si>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</si>
  <si>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</si>
  <si>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</si>
  <si>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</si>
  <si>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</si>
  <si>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</si>
  <si>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</si>
  <si>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</si>
  <si>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</si>
  <si>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</si>
  <si>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</si>
  <si>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</si>
  <si>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</si>
  <si>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</si>
  <si>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</si>
  <si>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</si>
  <si>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</si>
  <si>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</si>
  <si>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</si>
  <si>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</si>
  <si>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</si>
  <si>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</si>
  <si>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</si>
  <si>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</si>
  <si>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</si>
  <si>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</si>
  <si>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</si>
  <si>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</si>
  <si>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</si>
  <si>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</si>
  <si>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</si>
  <si>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</si>
  <si>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</si>
  <si>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</si>
  <si>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</si>
  <si>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</si>
  <si>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</si>
  <si>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</si>
  <si>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</si>
  <si>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</si>
  <si>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</si>
  <si>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</si>
  <si>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</si>
  <si>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</si>
  <si>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</si>
  <si>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</si>
  <si>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</si>
  <si>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</si>
  <si>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</si>
  <si>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</si>
  <si>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</si>
  <si>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</si>
  <si>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</si>
  <si>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</si>
  <si>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</si>
  <si>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</si>
  <si>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</si>
  <si>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</si>
  <si>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</si>
  <si>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</si>
  <si>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</si>
  <si>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</si>
  <si>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</si>
  <si>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</si>
  <si>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</si>
  <si>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</si>
  <si>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</si>
  <si>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</si>
  <si>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</si>
  <si>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</si>
  <si>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</si>
  <si>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</si>
  <si>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</si>
  <si>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</si>
  <si>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</si>
  <si>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</si>
  <si>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</si>
  <si>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</si>
  <si>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</si>
  <si>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</si>
  <si>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</si>
  <si>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</si>
  <si>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</si>
  <si>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</si>
  <si>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</si>
  <si>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</si>
  <si>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</si>
  <si>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</si>
  <si>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</si>
  <si>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</si>
  <si>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</si>
  <si>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</si>
  <si>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</si>
  <si>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</si>
  <si>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</si>
  <si>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</si>
  <si>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</si>
  <si>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</si>
  <si>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</si>
  <si>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</si>
  <si>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</si>
  <si>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</si>
  <si>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</si>
  <si>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</si>
  <si>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</si>
  <si>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</si>
  <si>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</si>
  <si>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</si>
  <si>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</si>
  <si>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</si>
  <si>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</si>
  <si>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</si>
  <si>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</si>
  <si>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</si>
  <si>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</si>
  <si>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</si>
  <si>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</si>
  <si>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</si>
  <si>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</si>
  <si>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</si>
  <si>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</si>
  <si>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</si>
  <si>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</si>
  <si>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</si>
  <si>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</si>
  <si>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</si>
  <si>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</si>
  <si>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</si>
  <si>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</si>
  <si>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</si>
  <si>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</si>
  <si>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</si>
  <si>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</si>
  <si>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</si>
  <si>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</si>
  <si>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</si>
  <si>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</si>
  <si>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</si>
  <si>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</si>
  <si>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</si>
  <si>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</si>
  <si>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</si>
  <si>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</si>
  <si>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</si>
  <si>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</si>
  <si>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</si>
  <si>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</si>
  <si>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</si>
  <si>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</si>
  <si>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</si>
  <si>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</si>
  <si>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</si>
  <si>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</si>
  <si>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</si>
  <si>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</si>
  <si>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</si>
  <si>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</si>
  <si>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</si>
  <si>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</si>
  <si>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</si>
  <si>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</si>
  <si>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</si>
  <si>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</si>
  <si>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</si>
  <si>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</si>
  <si>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</si>
  <si>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</si>
  <si>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</si>
  <si>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</si>
  <si>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</si>
  <si>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</si>
  <si>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</si>
  <si>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</si>
  <si>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</si>
  <si>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</si>
  <si>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</si>
  <si>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</si>
  <si>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</si>
  <si>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</si>
  <si>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</si>
  <si>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</si>
  <si>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</si>
  <si>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</si>
  <si>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</si>
  <si>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</si>
  <si>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</si>
  <si>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</si>
  <si>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</si>
  <si>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</si>
  <si>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</si>
  <si>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</si>
  <si>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</si>
  <si>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</si>
  <si>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</si>
  <si>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</si>
  <si>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</si>
  <si>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</si>
  <si>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</si>
  <si>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</si>
  <si>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</si>
  <si>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</si>
  <si>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</si>
  <si>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</si>
  <si>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</si>
  <si>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</si>
  <si>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</si>
  <si>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</si>
  <si>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</si>
  <si>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</si>
  <si>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</si>
  <si>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</si>
  <si>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</si>
  <si>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</si>
  <si>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</si>
  <si>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</si>
  <si>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</si>
  <si>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</si>
  <si>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</si>
  <si>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</si>
  <si>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</si>
  <si>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</si>
  <si>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</si>
  <si>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</si>
  <si>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</si>
  <si>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</si>
  <si>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</si>
  <si>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</si>
  <si>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</si>
  <si>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</si>
  <si>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</si>
  <si>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</si>
  <si>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</si>
  <si>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</si>
  <si>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</si>
  <si>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</si>
  <si>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</si>
  <si>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</si>
  <si>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</si>
  <si>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</si>
  <si>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</si>
  <si>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</si>
  <si>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</si>
  <si>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</si>
  <si>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</si>
  <si>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</si>
  <si>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</si>
  <si>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</si>
  <si>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</si>
  <si>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</si>
  <si>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</si>
  <si>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</si>
  <si>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</si>
  <si>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</si>
  <si>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</si>
  <si>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</si>
  <si>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</si>
  <si>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</si>
  <si>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</si>
  <si>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</si>
  <si>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</si>
  <si>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</si>
  <si>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</si>
  <si>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</si>
  <si>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</si>
  <si>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</si>
  <si>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</si>
  <si>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</si>
  <si>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</si>
  <si>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</si>
  <si>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</si>
  <si>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</si>
  <si>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</si>
  <si>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</si>
  <si>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</si>
  <si>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</si>
  <si>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</si>
  <si>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</si>
  <si>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</si>
  <si>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</si>
  <si>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</si>
  <si>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</si>
  <si>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</si>
  <si>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</si>
  <si>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</si>
  <si>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</si>
  <si>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</si>
  <si>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</si>
  <si>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</si>
  <si>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</si>
  <si>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</si>
  <si>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</si>
  <si>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</si>
  <si>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</si>
  <si>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</si>
  <si>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</si>
  <si>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</si>
  <si>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</si>
  <si>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</si>
  <si>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</si>
  <si>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</si>
  <si>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</si>
  <si>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</si>
  <si>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</si>
  <si>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</si>
  <si>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</si>
  <si>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</si>
  <si>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</si>
  <si>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</si>
  <si>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</si>
  <si>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</si>
  <si>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</si>
  <si>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</si>
  <si>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</si>
  <si>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</si>
  <si>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</si>
  <si>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</si>
  <si>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</si>
  <si>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</si>
  <si>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</si>
  <si>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</si>
  <si>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</si>
  <si>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</si>
  <si>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</si>
  <si>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</si>
  <si>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</si>
  <si>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</si>
  <si>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</si>
  <si>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</si>
  <si>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</si>
  <si>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</si>
  <si>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</si>
  <si>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</si>
  <si>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</si>
  <si>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</si>
  <si>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</si>
  <si>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</si>
  <si>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</si>
  <si>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</si>
  <si>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</si>
  <si>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</si>
  <si>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</si>
  <si>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</si>
  <si>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</si>
  <si>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</si>
  <si>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</si>
  <si>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</si>
  <si>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</si>
  <si>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</si>
  <si>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</si>
  <si>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</si>
  <si>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</si>
  <si>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</si>
  <si>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</si>
  <si>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</si>
  <si>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</si>
  <si>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</si>
  <si>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</si>
  <si>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</si>
  <si>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</si>
  <si>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</si>
  <si>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</si>
  <si>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</si>
  <si>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</si>
  <si>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</si>
  <si>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</si>
  <si>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</si>
  <si>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</si>
  <si>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</si>
  <si>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</si>
  <si>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</si>
  <si>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</si>
  <si>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</si>
  <si>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</si>
  <si>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</si>
  <si>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</si>
  <si>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</si>
  <si>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</si>
  <si>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</si>
  <si>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</si>
  <si>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</si>
  <si>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</si>
  <si>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</si>
  <si>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</si>
  <si>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</si>
  <si>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</si>
  <si>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</si>
  <si>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</si>
  <si>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</si>
  <si>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</si>
  <si>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</si>
  <si>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</si>
  <si>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</si>
  <si>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</si>
  <si>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</si>
  <si>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</si>
  <si>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</si>
  <si>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</si>
  <si>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</si>
  <si>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</si>
  <si>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</si>
  <si>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</si>
  <si>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</si>
  <si>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</si>
  <si>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</si>
  <si>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</si>
  <si>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</si>
  <si>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</si>
  <si>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</si>
  <si>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</si>
  <si>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</si>
  <si>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</si>
  <si>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</si>
  <si>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</si>
  <si>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</si>
  <si>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</si>
  <si>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</si>
  <si>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</si>
  <si>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</si>
  <si>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</si>
  <si>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</si>
  <si>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</si>
  <si>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</si>
  <si>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</si>
  <si>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</si>
  <si>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</si>
  <si>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</si>
  <si>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</si>
  <si>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</si>
  <si>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</si>
  <si>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</si>
  <si>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</si>
  <si>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</si>
  <si>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</si>
  <si>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</si>
  <si>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</si>
  <si>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</si>
  <si>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</si>
  <si>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</si>
  <si>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</si>
  <si>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</si>
  <si>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</si>
  <si>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</si>
  <si>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</si>
  <si>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</si>
  <si>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</si>
  <si>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</si>
  <si>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</si>
  <si>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</si>
  <si>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</si>
  <si>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</si>
  <si>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</si>
  <si>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</si>
  <si>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</si>
  <si>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</si>
  <si>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</si>
  <si>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</si>
  <si>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</si>
  <si>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</si>
  <si>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</si>
  <si>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</si>
  <si>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</si>
  <si>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</si>
  <si>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</si>
  <si>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</si>
  <si>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</si>
  <si>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</si>
  <si>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</si>
  <si>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</si>
  <si>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</si>
  <si>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</si>
  <si>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</si>
  <si>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</si>
  <si>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</si>
  <si>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</si>
  <si>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</si>
  <si>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</si>
  <si>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</si>
  <si>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</si>
  <si>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</si>
  <si>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</si>
  <si>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</si>
  <si>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</si>
  <si>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</si>
  <si>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</si>
  <si>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</si>
  <si>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</si>
  <si>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</si>
  <si>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</si>
  <si>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</si>
  <si>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</si>
  <si>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</si>
  <si>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</si>
  <si>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</si>
  <si>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</si>
  <si>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</si>
  <si>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</si>
  <si>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</si>
  <si>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</si>
  <si>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</si>
  <si>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</si>
  <si>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</si>
  <si>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</si>
  <si>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</si>
  <si>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</si>
  <si>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</si>
  <si>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</si>
  <si>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</si>
  <si>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</si>
  <si>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</si>
  <si>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</si>
  <si>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</si>
  <si>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</si>
  <si>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</si>
  <si>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</si>
  <si>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</si>
  <si>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</si>
  <si>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</si>
  <si>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</si>
  <si>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</si>
  <si>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</si>
  <si>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</si>
  <si>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</si>
  <si>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</si>
  <si>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</si>
  <si>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</si>
  <si>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</si>
  <si>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</si>
  <si>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</si>
  <si>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</si>
  <si>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</si>
  <si>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</si>
  <si>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</si>
  <si>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</si>
  <si>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</si>
  <si>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</si>
  <si>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</si>
  <si>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</si>
  <si>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</si>
  <si>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</si>
  <si>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</si>
  <si>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</si>
  <si>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</si>
  <si>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</si>
  <si>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</si>
  <si>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</si>
  <si>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</si>
  <si>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</si>
  <si>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</si>
  <si>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</si>
  <si>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</si>
  <si>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</si>
  <si>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</si>
  <si>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</si>
  <si>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</si>
  <si>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</si>
  <si>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</si>
  <si>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</si>
  <si>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</si>
  <si>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</si>
  <si>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</si>
  <si>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</si>
  <si>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</si>
  <si>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</si>
  <si>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</si>
  <si>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</si>
  <si>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</si>
  <si>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</si>
  <si>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</si>
  <si>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</si>
  <si>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</si>
  <si>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</si>
  <si>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</si>
  <si>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</si>
  <si>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</si>
  <si>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</si>
  <si>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</si>
  <si>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</si>
  <si>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</si>
  <si>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</si>
  <si>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</si>
  <si>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</si>
  <si>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</si>
  <si>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</si>
  <si>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</si>
  <si>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</si>
  <si>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</si>
  <si>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</si>
  <si>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</si>
  <si>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</si>
  <si>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</si>
  <si>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</si>
  <si>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</si>
  <si>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</si>
  <si>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</si>
  <si>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</si>
  <si>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</si>
  <si>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</si>
  <si>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</si>
  <si>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</si>
  <si>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</si>
  <si>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</si>
  <si>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</si>
  <si>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</si>
  <si>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</si>
  <si>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</si>
  <si>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</si>
  <si>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</si>
  <si>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</si>
  <si>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</si>
  <si>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</si>
  <si>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</si>
  <si>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</si>
  <si>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</si>
  <si>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</si>
  <si>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</si>
  <si>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</si>
  <si>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</si>
  <si>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</si>
  <si>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</si>
  <si>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</si>
  <si>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</si>
  <si>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</si>
  <si>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</si>
  <si>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</si>
  <si>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</si>
  <si>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</si>
  <si>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</si>
  <si>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</si>
  <si>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</si>
  <si>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</si>
  <si>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</si>
  <si>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</si>
  <si>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</si>
  <si>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</si>
  <si>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</si>
  <si>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</si>
  <si>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</si>
  <si>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</si>
  <si>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</si>
  <si>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</si>
  <si>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</si>
  <si>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</si>
  <si>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</si>
  <si>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</si>
  <si>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</si>
  <si>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</si>
  <si>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</si>
  <si>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</si>
  <si>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</si>
  <si>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</si>
  <si>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</si>
  <si>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</si>
  <si>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</si>
  <si>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</si>
  <si>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</si>
  <si>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</si>
  <si>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</si>
  <si>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</si>
  <si>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</si>
  <si>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</si>
  <si>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</si>
  <si>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</si>
  <si>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</si>
  <si>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</si>
  <si>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</si>
  <si>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</si>
  <si>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</si>
  <si>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</si>
  <si>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</si>
  <si>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</si>
  <si>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</si>
  <si>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</si>
  <si>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</si>
  <si>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</si>
  <si>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</si>
  <si>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</si>
  <si>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</si>
  <si>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</si>
  <si>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</si>
  <si>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</si>
  <si>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</si>
  <si>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</si>
  <si>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</si>
  <si>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</si>
  <si>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</si>
  <si>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</si>
  <si>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</si>
  <si>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</si>
  <si>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</si>
  <si>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</si>
  <si>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</si>
  <si>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</si>
  <si>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</si>
  <si>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</si>
  <si>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</si>
  <si>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</si>
  <si>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</si>
  <si>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</si>
  <si>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</si>
  <si>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</si>
  <si>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</si>
  <si>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</si>
  <si>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</si>
  <si>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</si>
  <si>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</si>
  <si>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</si>
  <si>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</si>
  <si>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</si>
  <si>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</si>
  <si>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</si>
  <si>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</si>
  <si>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</si>
  <si>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</si>
  <si>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</si>
  <si>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</si>
  <si>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</si>
  <si>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</si>
  <si>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</si>
  <si>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</si>
  <si>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</si>
  <si>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</si>
  <si>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</si>
  <si>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</si>
  <si>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</si>
  <si>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</si>
  <si>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</si>
  <si>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</si>
  <si>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</si>
  <si>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</si>
  <si>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</si>
  <si>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</si>
  <si>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</si>
  <si>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</si>
  <si>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</si>
  <si>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</si>
  <si>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</si>
  <si>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</si>
  <si>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</si>
  <si>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</si>
  <si>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</si>
  <si>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</si>
  <si>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</si>
  <si>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</si>
  <si>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</si>
  <si>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</si>
  <si>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</si>
  <si>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</si>
  <si>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</si>
  <si>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</si>
  <si>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</si>
  <si>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</si>
  <si>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</si>
  <si>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</si>
  <si>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</si>
  <si>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</si>
  <si>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</si>
  <si>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</si>
  <si>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</si>
  <si>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</si>
  <si>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</si>
  <si>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</si>
  <si>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</si>
  <si>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</si>
  <si>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</si>
  <si>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</si>
  <si>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</si>
  <si>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</si>
  <si>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</si>
  <si>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</si>
  <si>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</si>
  <si>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</si>
  <si>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</si>
  <si>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</si>
  <si>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</si>
  <si>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</si>
  <si>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</si>
  <si>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</si>
  <si>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</si>
  <si>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</si>
  <si>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</si>
  <si>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</si>
  <si>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</si>
  <si>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</si>
  <si>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</si>
  <si>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</si>
  <si>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</si>
  <si>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</si>
  <si>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</si>
  <si>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</si>
  <si>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</si>
  <si>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</si>
  <si>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</si>
  <si>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</si>
  <si>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</si>
  <si>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</si>
  <si>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</si>
  <si>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</si>
  <si>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</si>
  <si>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</si>
  <si>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</si>
  <si>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</si>
  <si>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</si>
  <si>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</si>
  <si>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</si>
  <si>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</si>
  <si>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</si>
  <si>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</si>
  <si>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</si>
  <si>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</si>
  <si>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</si>
  <si>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</si>
  <si>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</si>
  <si>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</si>
  <si>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</si>
  <si>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</si>
  <si>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</si>
  <si>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</si>
  <si>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</si>
  <si>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</si>
  <si>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</si>
  <si>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</si>
  <si>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</si>
  <si>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</si>
  <si>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</si>
  <si>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</si>
  <si>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</si>
  <si>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</si>
  <si>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</si>
  <si>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</si>
  <si>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</si>
  <si>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</si>
  <si>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</si>
  <si>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</si>
  <si>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</si>
  <si>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</si>
  <si>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</si>
  <si>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</si>
  <si>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</si>
  <si>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</si>
  <si>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</si>
  <si>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</si>
  <si>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</si>
  <si>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</si>
  <si>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</si>
  <si>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</si>
  <si>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</si>
  <si>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</si>
  <si>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</si>
  <si>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</si>
  <si>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</si>
  <si>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</si>
  <si>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</si>
  <si>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</si>
  <si>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</si>
  <si>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</si>
  <si>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</si>
  <si>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</si>
  <si>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</si>
  <si>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</si>
  <si>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</si>
  <si>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</si>
  <si>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</si>
  <si>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</si>
  <si>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</si>
  <si>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</si>
  <si>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</si>
  <si>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</si>
  <si>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</si>
  <si>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</si>
  <si>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</si>
  <si>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</si>
  <si>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</si>
  <si>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</si>
  <si>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</si>
  <si>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</si>
  <si>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</si>
  <si>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</si>
  <si>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</si>
  <si>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</si>
  <si>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</si>
  <si>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</si>
  <si>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</si>
  <si>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</si>
  <si>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</si>
  <si>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</si>
  <si>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</si>
  <si>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</si>
  <si>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</si>
  <si>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</si>
  <si>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</si>
  <si>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</si>
  <si>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</si>
  <si>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</si>
  <si>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</si>
  <si>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</si>
  <si>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</si>
  <si>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</si>
  <si>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</si>
  <si>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</si>
  <si>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</si>
  <si>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</si>
  <si>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</si>
  <si>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</si>
  <si>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</si>
  <si>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</si>
  <si>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</si>
  <si>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</si>
  <si>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</si>
  <si>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</si>
  <si>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</si>
  <si>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</si>
  <si>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</si>
  <si>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</si>
  <si>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</si>
  <si>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</si>
  <si>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</si>
  <si>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</si>
  <si>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</si>
  <si>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</si>
  <si>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</si>
  <si>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</si>
  <si>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</si>
  <si>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</si>
  <si>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</si>
  <si>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</si>
  <si>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</si>
  <si>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</si>
  <si>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</si>
  <si>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</si>
  <si>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</si>
  <si>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</si>
  <si>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</si>
  <si>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</si>
  <si>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</si>
  <si>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</si>
  <si>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</si>
  <si>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</si>
  <si>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</si>
  <si>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</si>
  <si>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</si>
  <si>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</si>
  <si>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</si>
  <si>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</si>
  <si>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</si>
  <si>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</si>
  <si>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</si>
  <si>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</si>
  <si>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</si>
  <si>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</si>
  <si>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</si>
  <si>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</si>
  <si>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</si>
  <si>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</si>
  <si>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</si>
  <si>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</si>
  <si>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</si>
  <si>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</si>
  <si>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</si>
  <si>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</si>
  <si>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</si>
  <si>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</si>
  <si>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</si>
  <si>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</si>
  <si>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</si>
  <si>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</si>
  <si>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</si>
  <si>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</si>
  <si>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</si>
  <si>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</si>
  <si>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</si>
  <si>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</si>
  <si>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</si>
  <si>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</si>
  <si>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</si>
  <si>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</si>
  <si>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</si>
  <si>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</si>
  <si>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</si>
  <si>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</si>
  <si>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</si>
  <si>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</si>
  <si>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</si>
  <si>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</si>
  <si>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</si>
  <si>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</si>
  <si>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</si>
  <si>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</si>
  <si>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</si>
  <si>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</si>
  <si>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</si>
  <si>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</si>
  <si>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</si>
  <si>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</si>
  <si>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</si>
  <si>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</si>
  <si>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</si>
  <si>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</si>
  <si>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</si>
  <si>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</si>
  <si>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</si>
  <si>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</si>
  <si>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</si>
  <si>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</si>
  <si>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</si>
  <si>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</si>
  <si>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</si>
  <si>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</si>
  <si>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</si>
  <si>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</si>
  <si>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</si>
  <si>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</si>
  <si>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</si>
  <si>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</si>
  <si>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</si>
  <si>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</si>
  <si>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</si>
  <si>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</si>
  <si>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</si>
  <si>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</si>
  <si>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</si>
  <si>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</si>
  <si>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</si>
  <si>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</si>
  <si>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</si>
  <si>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</si>
  <si>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</si>
  <si>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</si>
  <si>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</si>
  <si>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</si>
  <si>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</si>
  <si>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</si>
  <si>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</si>
  <si>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</si>
  <si>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</si>
  <si>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</si>
  <si>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</si>
  <si>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</si>
  <si>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</si>
  <si>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</si>
  <si>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</si>
  <si>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</si>
  <si>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</si>
  <si>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</si>
  <si>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</si>
  <si>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</si>
  <si>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</si>
  <si>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</si>
  <si>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</si>
  <si>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</si>
  <si>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</si>
  <si>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</si>
  <si>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</si>
  <si>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</si>
  <si>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</si>
  <si>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</si>
  <si>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</si>
  <si>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</si>
  <si>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</si>
  <si>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</si>
  <si>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</si>
  <si>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</si>
  <si>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</si>
  <si>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</si>
  <si>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</si>
  <si>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</si>
  <si>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</si>
  <si>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</si>
  <si>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</si>
  <si>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</si>
  <si>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</si>
  <si>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</si>
  <si>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</si>
  <si>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</si>
  <si>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</si>
  <si>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</si>
  <si>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</si>
  <si>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</si>
  <si>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</si>
  <si>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</si>
  <si>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</si>
  <si>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</si>
  <si>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</si>
  <si>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</si>
  <si>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</si>
  <si>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</si>
  <si>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</si>
  <si>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</si>
  <si>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</si>
  <si>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</si>
  <si>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</si>
  <si>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</si>
  <si>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</si>
  <si>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</si>
  <si>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</si>
  <si>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</si>
  <si>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</si>
  <si>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</si>
  <si>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</si>
  <si>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</si>
  <si>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</si>
  <si>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</si>
  <si>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</si>
  <si>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</si>
  <si>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</si>
  <si>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</si>
  <si>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</si>
  <si>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</si>
  <si>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</si>
  <si>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</si>
  <si>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</si>
  <si>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</si>
  <si>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</si>
  <si>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</si>
  <si>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</si>
  <si>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</si>
  <si>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</si>
  <si>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</si>
  <si>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</si>
  <si>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</si>
  <si>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</si>
  <si>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</si>
  <si>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</si>
  <si>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</si>
  <si>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</si>
  <si>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</si>
  <si>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</si>
  <si>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</si>
  <si>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</si>
  <si>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</si>
  <si>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</si>
  <si>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</si>
  <si>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</si>
  <si>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</si>
  <si>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</si>
  <si>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</si>
  <si>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</si>
  <si>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</si>
  <si>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</si>
  <si>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</si>
  <si>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</si>
  <si>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</si>
  <si>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</si>
  <si>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</si>
  <si>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</si>
  <si>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</si>
  <si>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</si>
  <si>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</si>
  <si>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</si>
  <si>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</si>
  <si>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</si>
  <si>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</si>
  <si>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</si>
  <si>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</si>
  <si>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</si>
  <si>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</si>
  <si>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</si>
  <si>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</si>
  <si>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</si>
  <si>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</si>
  <si>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</si>
  <si>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</si>
  <si>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</si>
  <si>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</si>
  <si>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</si>
  <si>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</si>
  <si>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</si>
  <si>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</si>
  <si>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</si>
  <si>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</si>
  <si>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</si>
  <si>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</si>
  <si>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</si>
  <si>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</si>
  <si>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</si>
  <si>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</si>
  <si>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</si>
  <si>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</si>
  <si>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</si>
  <si>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</si>
  <si>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</si>
  <si>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</si>
  <si>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</si>
  <si>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</si>
  <si>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</si>
  <si>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</si>
  <si>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</si>
  <si>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</si>
  <si>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</si>
  <si>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</si>
  <si>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</si>
  <si>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</si>
  <si>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</si>
  <si>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</si>
  <si>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</si>
  <si>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</si>
  <si>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</si>
  <si>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</si>
  <si>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</si>
  <si>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</si>
  <si>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</si>
  <si>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</si>
  <si>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</si>
  <si>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</si>
  <si>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</si>
  <si>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</si>
  <si>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</si>
  <si>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</si>
  <si>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</si>
  <si>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</si>
  <si>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</si>
  <si>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</si>
  <si>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</si>
  <si>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</si>
  <si>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</si>
  <si>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</si>
  <si>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</si>
  <si>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</si>
  <si>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</si>
  <si>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</si>
  <si>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</si>
  <si>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</si>
  <si>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</si>
  <si>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</si>
  <si>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</si>
  <si>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</si>
  <si>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</si>
  <si>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</si>
  <si>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</si>
  <si>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</si>
  <si>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</si>
  <si>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</si>
  <si>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</si>
  <si>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</si>
  <si>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</si>
  <si>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</si>
  <si>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</si>
  <si>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</si>
  <si>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</si>
  <si>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</si>
  <si>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</si>
  <si>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</si>
  <si>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</si>
  <si>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</si>
  <si>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</si>
  <si>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</si>
  <si>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</si>
  <si>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</si>
  <si>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</si>
  <si>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</si>
  <si>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</si>
  <si>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</si>
  <si>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</si>
  <si>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</si>
  <si>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</si>
  <si>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</si>
  <si>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</si>
  <si>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</si>
  <si>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</si>
  <si>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</si>
  <si>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</si>
  <si>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</si>
  <si>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</si>
  <si>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</si>
  <si>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</si>
  <si>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</si>
  <si>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</si>
  <si>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</si>
  <si>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</si>
  <si>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</si>
  <si>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</si>
  <si>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</si>
  <si>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</si>
  <si>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</si>
  <si>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</si>
  <si>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</si>
  <si>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</si>
  <si>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</si>
  <si>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</si>
  <si>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</si>
  <si>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</si>
  <si>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</si>
  <si>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</si>
  <si>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</si>
  <si>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</si>
  <si>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</si>
  <si>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</si>
  <si>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</si>
  <si>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</si>
  <si>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</si>
  <si>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</si>
  <si>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</si>
  <si>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</si>
  <si>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</si>
  <si>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</si>
  <si>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</si>
  <si>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</si>
  <si>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</si>
  <si>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</si>
  <si>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</si>
  <si>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</si>
  <si>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</si>
  <si>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</si>
  <si>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</si>
  <si>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</si>
  <si>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</si>
  <si>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</si>
  <si>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</si>
  <si>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</si>
  <si>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</si>
  <si>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</si>
  <si>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</si>
  <si>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</si>
  <si>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</si>
  <si>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</si>
  <si>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</si>
  <si>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</si>
  <si>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</si>
  <si>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</si>
  <si>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</si>
  <si>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</si>
  <si>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</si>
  <si>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</si>
  <si>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</si>
  <si>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</si>
  <si>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</si>
  <si>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</si>
  <si>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</si>
  <si>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</si>
  <si>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</si>
  <si>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</si>
  <si>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</si>
  <si>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</si>
  <si>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</si>
  <si>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</si>
  <si>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</si>
  <si>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</si>
  <si>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</si>
  <si>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</si>
  <si>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</si>
  <si>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</si>
  <si>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</si>
  <si>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</si>
  <si>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</si>
  <si>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</si>
  <si>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</si>
  <si>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</si>
  <si>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</si>
  <si>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</si>
  <si>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</si>
  <si>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</si>
  <si>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</si>
  <si>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</si>
  <si>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</si>
  <si>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</si>
  <si>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</si>
  <si>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</si>
  <si>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</si>
  <si>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</si>
  <si>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</si>
  <si>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</si>
  <si>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</si>
  <si>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</si>
  <si>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</si>
  <si>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</si>
  <si>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</si>
  <si>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</si>
  <si>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</si>
  <si>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</si>
  <si>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</si>
  <si>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</si>
  <si>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</si>
  <si>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</si>
  <si>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</si>
  <si>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</si>
  <si>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</si>
  <si>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</si>
  <si>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</si>
  <si>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</si>
  <si>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</si>
  <si>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</si>
  <si>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</si>
  <si>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</si>
  <si>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</si>
  <si>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</si>
  <si>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</si>
  <si>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</si>
  <si>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</si>
  <si>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</si>
  <si>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</si>
  <si>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</si>
  <si>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</si>
  <si>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</si>
  <si>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</si>
  <si>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</si>
  <si>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</si>
  <si>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</si>
  <si>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</si>
  <si>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</si>
  <si>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</si>
  <si>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</si>
  <si>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</si>
  <si>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</si>
  <si>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</si>
  <si>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</si>
  <si>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</si>
  <si>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</si>
  <si>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</si>
  <si>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</si>
  <si>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</si>
  <si>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</si>
  <si>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</si>
  <si>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</si>
  <si>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</si>
  <si>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</si>
  <si>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</si>
  <si>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</si>
  <si>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</si>
  <si>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</si>
  <si>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</si>
  <si>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</si>
  <si>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</si>
  <si>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</si>
  <si>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</si>
  <si>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</si>
  <si>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</si>
  <si>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</si>
  <si>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</si>
  <si>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</si>
  <si>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</si>
  <si>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</si>
  <si>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</si>
  <si>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</si>
  <si>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</si>
  <si>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</si>
  <si>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</si>
  <si>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</si>
  <si>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</si>
  <si>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</si>
  <si>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</si>
  <si>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</si>
  <si>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</si>
  <si>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</si>
  <si>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</si>
  <si>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</si>
  <si>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</si>
  <si>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</si>
  <si>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</si>
  <si>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</si>
  <si>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</si>
  <si>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</si>
  <si>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</si>
  <si>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</si>
  <si>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</si>
  <si>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</si>
  <si>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</si>
  <si>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</si>
  <si>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</si>
  <si>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</si>
  <si>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</si>
  <si>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</si>
  <si>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</si>
  <si>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</si>
  <si>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</si>
  <si>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</si>
  <si>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</si>
  <si>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</si>
  <si>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</si>
  <si>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</si>
  <si>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</si>
  <si>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</si>
  <si>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</si>
  <si>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</si>
  <si>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</si>
  <si>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</si>
  <si>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</si>
  <si>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</si>
  <si>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</si>
  <si>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</si>
  <si>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</si>
  <si>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</si>
  <si>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</si>
  <si>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</si>
  <si>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</si>
  <si>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</si>
  <si>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</si>
  <si>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</si>
  <si>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</si>
  <si>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</si>
  <si>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</si>
  <si>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</si>
  <si>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</si>
  <si>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</si>
  <si>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</si>
  <si>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</si>
  <si>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</si>
  <si>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</si>
  <si>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</si>
  <si>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</si>
  <si>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</si>
  <si>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</si>
  <si>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</si>
  <si>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</si>
  <si>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</si>
  <si>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</si>
  <si>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</si>
  <si>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</si>
  <si>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</si>
  <si>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</si>
  <si>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</si>
  <si>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</si>
  <si>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</si>
  <si>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</si>
  <si>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</si>
  <si>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</si>
  <si>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</si>
  <si>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</si>
  <si>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</si>
  <si>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</si>
  <si>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</si>
  <si>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</si>
  <si>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</si>
  <si>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</si>
  <si>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</si>
  <si>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</si>
  <si>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</si>
  <si>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</si>
  <si>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</si>
  <si>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</si>
  <si>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</si>
  <si>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</si>
  <si>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</si>
  <si>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</si>
  <si>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</si>
  <si>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</si>
  <si>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</si>
  <si>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</si>
  <si>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</si>
  <si>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</si>
  <si>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</si>
  <si>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</si>
  <si>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</si>
  <si>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</si>
  <si>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</si>
  <si>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</si>
  <si>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</si>
  <si>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</si>
  <si>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</si>
  <si>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</si>
  <si>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</si>
  <si>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</si>
  <si>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</si>
  <si>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</si>
  <si>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</si>
  <si>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</si>
  <si>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</si>
  <si>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</si>
  <si>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</si>
  <si>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</si>
  <si>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</si>
  <si>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</si>
  <si>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</si>
  <si>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</si>
  <si>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</si>
  <si>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</si>
  <si>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</si>
  <si>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</si>
  <si>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</si>
  <si>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</si>
  <si>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</si>
  <si>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</si>
  <si>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</si>
  <si>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</si>
  <si>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</si>
  <si>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</si>
  <si>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</si>
  <si>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</si>
  <si>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</si>
  <si>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</si>
  <si>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</si>
  <si>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</si>
  <si>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</si>
  <si>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</si>
  <si>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</si>
  <si>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</si>
  <si>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</si>
  <si>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</si>
  <si>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</si>
  <si>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</si>
  <si>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</si>
  <si>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</si>
  <si>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</si>
  <si>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</si>
  <si>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</si>
  <si>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</si>
  <si>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</si>
  <si>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</si>
  <si>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</si>
  <si>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</si>
  <si>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</si>
  <si>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</si>
  <si>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</si>
  <si>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</si>
  <si>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</si>
  <si>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</si>
  <si>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</si>
  <si>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</si>
  <si>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</si>
  <si>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</si>
  <si>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</si>
  <si>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</si>
  <si>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</si>
  <si>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</si>
  <si>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</si>
  <si>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</si>
  <si>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</si>
  <si>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</si>
  <si>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</si>
  <si>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</si>
  <si>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</si>
  <si>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</si>
  <si>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</si>
  <si>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</si>
  <si>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</si>
  <si>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</si>
  <si>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</si>
  <si>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</si>
  <si>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</si>
  <si>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</si>
  <si>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</si>
  <si>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</si>
  <si>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</si>
  <si>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</si>
  <si>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</si>
  <si>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</si>
  <si>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</si>
  <si>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</si>
  <si>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</si>
  <si>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</si>
  <si>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</si>
  <si>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</si>
  <si>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</si>
  <si>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</si>
  <si>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</si>
  <si>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</si>
  <si>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</si>
  <si>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</si>
  <si>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</si>
  <si>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</si>
  <si>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</si>
  <si>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</si>
  <si>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</si>
  <si>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</si>
  <si>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</si>
  <si>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</si>
  <si>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</si>
  <si>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</si>
  <si>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</si>
  <si>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</si>
  <si>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</si>
  <si>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</si>
  <si>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</si>
  <si>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</si>
  <si>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</si>
  <si>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</si>
  <si>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</si>
  <si>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</si>
  <si>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</si>
  <si>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</si>
  <si>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</si>
  <si>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</si>
  <si>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</si>
  <si>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</si>
  <si>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</si>
  <si>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</si>
  <si>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</si>
  <si>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</si>
  <si>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</si>
  <si>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</si>
  <si>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</si>
  <si>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</si>
  <si>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</si>
  <si>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</si>
  <si>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</si>
  <si>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</si>
  <si>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</si>
  <si>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</si>
  <si>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</si>
  <si>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</si>
  <si>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</si>
  <si>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</si>
  <si>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</si>
  <si>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</si>
  <si>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</si>
  <si>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</si>
  <si>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</si>
  <si>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</si>
  <si>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</si>
  <si>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</si>
  <si>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</si>
  <si>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</si>
  <si>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</si>
  <si>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</si>
  <si>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</si>
  <si>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</si>
  <si>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</si>
  <si>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</si>
  <si>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</si>
  <si>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</si>
  <si>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</si>
  <si>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</si>
  <si>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</si>
  <si>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</si>
  <si>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</si>
  <si>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</si>
  <si>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</si>
  <si>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</si>
  <si>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</si>
  <si>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</si>
  <si>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</si>
  <si>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</si>
  <si>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</si>
  <si>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</si>
  <si>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</si>
  <si>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</si>
  <si>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</si>
  <si>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</si>
  <si>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</si>
  <si>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</si>
  <si>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</si>
  <si>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</si>
  <si>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</si>
  <si>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</si>
  <si>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</si>
  <si>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</si>
  <si>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</si>
  <si>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</si>
  <si>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</si>
  <si>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</si>
  <si>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</si>
  <si>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</si>
  <si>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</si>
  <si>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</si>
  <si>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</si>
  <si>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</si>
  <si>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</si>
  <si>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</si>
  <si>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</si>
  <si>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</si>
  <si>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</si>
  <si>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</si>
  <si>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</si>
  <si>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</si>
  <si>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</si>
  <si>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</si>
  <si>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</si>
  <si>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</si>
  <si>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</si>
  <si>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</si>
  <si>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</si>
  <si>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</si>
  <si>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</si>
  <si>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</si>
  <si>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</si>
  <si>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</si>
  <si>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</si>
  <si>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</si>
  <si>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</si>
  <si>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</si>
  <si>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</si>
  <si>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</si>
  <si>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</si>
  <si>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</si>
  <si>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</si>
  <si>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</si>
  <si>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</si>
  <si>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</si>
  <si>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</si>
  <si>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</si>
  <si>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</si>
  <si>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</si>
  <si>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</si>
  <si>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</si>
  <si>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</si>
  <si>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</si>
  <si>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</si>
  <si>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</si>
  <si>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</si>
  <si>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</si>
  <si>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</si>
  <si>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</si>
  <si>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</si>
  <si>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</si>
  <si>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</si>
  <si>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</si>
  <si>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</si>
  <si>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</si>
  <si>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</si>
  <si>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</si>
  <si>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</si>
  <si>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</si>
  <si>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</si>
  <si>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</si>
  <si>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</si>
  <si>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</si>
  <si>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</si>
  <si>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</si>
  <si>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</si>
  <si>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</si>
  <si>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</si>
  <si>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</si>
  <si>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</si>
  <si>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</si>
  <si>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</si>
  <si>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</si>
  <si>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</si>
  <si>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</si>
  <si>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</si>
  <si>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</si>
  <si>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</si>
  <si>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</si>
  <si>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</si>
  <si>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</si>
  <si>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</si>
  <si>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</si>
  <si>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</si>
  <si>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</si>
  <si>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</si>
  <si>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</si>
  <si>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</si>
  <si>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</si>
  <si>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</si>
  <si>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</si>
  <si>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</si>
  <si>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</si>
  <si>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</si>
  <si>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</si>
  <si>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</si>
  <si>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</si>
  <si>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</si>
  <si>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</si>
  <si>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</si>
  <si>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</si>
  <si>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</si>
  <si>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</si>
  <si>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</si>
  <si>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</si>
  <si>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</si>
  <si>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</si>
  <si>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</si>
  <si>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</si>
  <si>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</si>
  <si>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</si>
  <si>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</si>
  <si>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</si>
  <si>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</si>
  <si>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</si>
  <si>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</si>
  <si>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</si>
  <si>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</si>
  <si>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</si>
  <si>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</si>
  <si>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</si>
  <si>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</si>
  <si>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</si>
  <si>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</si>
  <si>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</si>
  <si>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</si>
  <si>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</si>
  <si>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</si>
  <si>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</si>
  <si>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</si>
  <si>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</si>
  <si>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</si>
  <si>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</si>
  <si>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</si>
  <si>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</si>
  <si>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</si>
  <si>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</si>
  <si>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</si>
  <si>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</si>
  <si>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</si>
  <si>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</si>
  <si>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</si>
  <si>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</si>
  <si>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</si>
  <si>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</si>
  <si>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</si>
  <si>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</si>
  <si>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</si>
  <si>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</si>
  <si>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</si>
  <si>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</si>
  <si>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</si>
  <si>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</si>
  <si>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</si>
  <si>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</si>
  <si>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</si>
  <si>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</si>
  <si>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</si>
  <si>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</si>
  <si>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</si>
  <si>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</si>
  <si>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</si>
  <si>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</si>
  <si>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</si>
  <si>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</si>
  <si>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</si>
  <si>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</si>
  <si>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</si>
  <si>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</si>
  <si>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</si>
  <si>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</si>
  <si>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</si>
  <si>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</si>
  <si>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</si>
  <si>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</si>
  <si>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</si>
  <si>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</si>
  <si>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</si>
  <si>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</si>
  <si>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</si>
  <si>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</si>
  <si>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</si>
  <si>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</si>
  <si>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</si>
  <si>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</si>
  <si>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</si>
  <si>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</si>
  <si>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</si>
  <si>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</si>
  <si>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</si>
  <si>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</si>
  <si>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</si>
  <si>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</si>
  <si>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</si>
  <si>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</si>
  <si>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</si>
  <si>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</si>
  <si>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</si>
  <si>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</si>
  <si>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</si>
  <si>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</si>
  <si>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</si>
  <si>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</si>
  <si>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</si>
  <si>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</si>
  <si>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</si>
  <si>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</si>
  <si>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</si>
  <si>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</si>
  <si>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</si>
  <si>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</si>
  <si>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</si>
  <si>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</si>
  <si>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</si>
  <si>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</si>
  <si>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</si>
  <si>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</si>
  <si>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</si>
  <si>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</si>
  <si>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</si>
  <si>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</si>
  <si>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</si>
  <si>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</si>
  <si>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</si>
  <si>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</si>
  <si>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</si>
  <si>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</si>
  <si>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</si>
  <si>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</si>
  <si>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</si>
  <si>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</si>
  <si>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</si>
  <si>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</si>
  <si>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</si>
  <si>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</si>
  <si>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</si>
  <si>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</si>
  <si>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</si>
  <si>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</si>
  <si>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</si>
  <si>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</si>
  <si>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</si>
  <si>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</si>
  <si>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</si>
  <si>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</si>
  <si>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</si>
  <si>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</si>
  <si>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</si>
  <si>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</si>
  <si>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</si>
  <si>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</si>
  <si>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</si>
  <si>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</si>
  <si>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</si>
  <si>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</si>
  <si>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</si>
  <si>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</si>
  <si>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</si>
  <si>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</si>
  <si>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</si>
  <si>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</si>
  <si>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</si>
  <si>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</si>
  <si>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</si>
  <si>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</si>
  <si>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</si>
  <si>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</si>
  <si>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</si>
  <si>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</si>
  <si>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</si>
  <si>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</si>
  <si>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</si>
  <si>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</si>
  <si>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</si>
  <si>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</si>
  <si>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</si>
  <si>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</si>
  <si>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</si>
  <si>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</si>
  <si>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</si>
  <si>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</si>
  <si>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</si>
  <si>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</si>
  <si>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</si>
  <si>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</si>
  <si>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</si>
  <si>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</si>
  <si>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</si>
  <si>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</si>
  <si>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</si>
  <si>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</si>
  <si>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</si>
  <si>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</si>
  <si>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</si>
  <si>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</si>
  <si>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</si>
  <si>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</si>
  <si>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</si>
  <si>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</si>
  <si>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</si>
  <si>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</si>
  <si>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</si>
  <si>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</si>
  <si>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</si>
  <si>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</si>
  <si>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</si>
  <si>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</si>
  <si>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</si>
  <si>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</si>
  <si>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</si>
  <si>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</si>
  <si>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</si>
  <si>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</si>
  <si>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</si>
  <si>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</si>
  <si>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</si>
  <si>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</si>
  <si>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</si>
  <si>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</si>
  <si>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</si>
  <si>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</si>
  <si>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</si>
  <si>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</si>
  <si>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</si>
  <si>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</si>
  <si>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</si>
  <si>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</si>
  <si>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</si>
  <si>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</si>
  <si>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</si>
  <si>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</si>
  <si>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</si>
  <si>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</si>
  <si>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</si>
  <si>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</si>
  <si>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</si>
  <si>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</si>
  <si>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</si>
  <si>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</si>
  <si>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</si>
  <si>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</si>
  <si>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</si>
  <si>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</si>
  <si>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</si>
  <si>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</si>
  <si>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</si>
  <si>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</si>
  <si>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</si>
  <si>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</si>
  <si>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</si>
  <si>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</si>
  <si>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</si>
  <si>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</si>
  <si>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</si>
  <si>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</si>
  <si>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</si>
  <si>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</si>
  <si>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</si>
  <si>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</si>
  <si>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</si>
  <si>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</si>
  <si>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</si>
  <si>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</si>
  <si>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</si>
  <si>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</si>
  <si>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</si>
  <si>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</si>
  <si>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</si>
  <si>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</si>
  <si>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</si>
  <si>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</si>
  <si>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</si>
  <si>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</si>
  <si>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</si>
  <si>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</si>
  <si>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</si>
  <si>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</si>
  <si>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</si>
  <si>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</si>
  <si>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</si>
  <si>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</si>
  <si>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</si>
  <si>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</si>
  <si>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</si>
  <si>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</si>
  <si>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</si>
  <si>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</si>
  <si>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</si>
  <si>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</si>
  <si>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</si>
  <si>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</si>
  <si>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</si>
  <si>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</si>
  <si>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</si>
  <si>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</si>
  <si>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</si>
  <si>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</si>
  <si>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</si>
  <si>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</si>
  <si>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</si>
  <si>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</si>
  <si>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</si>
  <si>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</si>
  <si>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</si>
  <si>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</si>
  <si>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</si>
  <si>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</si>
  <si>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</si>
  <si>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</si>
  <si>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</si>
  <si>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</si>
  <si>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</si>
  <si>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</si>
  <si>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</si>
  <si>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</si>
  <si>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</si>
  <si>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</si>
  <si>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</si>
  <si>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</si>
  <si>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</si>
  <si>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</si>
  <si>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</si>
  <si>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</si>
  <si>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</si>
  <si>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</si>
  <si>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</si>
  <si>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</si>
  <si>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</si>
  <si>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</si>
  <si>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</si>
  <si>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</si>
  <si>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</si>
  <si>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</si>
  <si>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</si>
  <si>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</si>
  <si>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</si>
  <si>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</si>
  <si>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</si>
  <si>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</si>
  <si>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</si>
  <si>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</si>
  <si>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</si>
  <si>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</si>
  <si>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</si>
  <si>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</si>
  <si>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</si>
  <si>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</si>
  <si>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</si>
  <si>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</si>
  <si>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</si>
  <si>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</si>
  <si>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</si>
  <si>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</si>
  <si>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</si>
  <si>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</si>
  <si>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</si>
  <si>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</si>
  <si>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</si>
  <si>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</si>
  <si>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</si>
  <si>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</si>
  <si>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</si>
  <si>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</si>
  <si>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</si>
  <si>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</si>
  <si>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</si>
  <si>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</si>
  <si>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</si>
  <si>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</si>
  <si>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</si>
  <si>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</si>
  <si>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</si>
  <si>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</si>
  <si>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</si>
  <si>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</si>
  <si>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</si>
  <si>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</si>
  <si>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</si>
  <si>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</si>
  <si>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</si>
  <si>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</si>
  <si>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</si>
  <si>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</si>
  <si>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</si>
  <si>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</si>
  <si>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</si>
  <si>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</si>
  <si>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</si>
  <si>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</si>
  <si>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</si>
  <si>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</si>
  <si>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</si>
  <si>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</si>
  <si>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</si>
  <si>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</si>
  <si>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</si>
  <si>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</si>
  <si>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</si>
  <si>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</si>
  <si>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</si>
  <si>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</si>
  <si>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</si>
  <si>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</si>
  <si>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</si>
  <si>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</si>
  <si>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</si>
  <si>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</si>
  <si>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</si>
  <si>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</si>
  <si>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</si>
  <si>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</si>
  <si>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</si>
  <si>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</si>
  <si>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</si>
  <si>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</si>
  <si>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</si>
  <si>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</si>
  <si>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</si>
  <si>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</si>
  <si>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</si>
  <si>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</si>
  <si>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</si>
  <si>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</si>
  <si>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</si>
  <si>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</si>
  <si>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</si>
  <si>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</si>
  <si>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</si>
  <si>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</si>
  <si>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</si>
  <si>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</si>
  <si>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</si>
  <si>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</si>
  <si>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</si>
  <si>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</si>
  <si>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</si>
  <si>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</si>
  <si>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</si>
  <si>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</si>
  <si>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</si>
  <si>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</si>
  <si>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</si>
  <si>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</si>
  <si>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</si>
  <si>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</si>
  <si>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</si>
  <si>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</si>
  <si>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</si>
  <si>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</si>
  <si>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</si>
  <si>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</si>
  <si>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</si>
  <si>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</si>
  <si>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</si>
  <si>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</si>
  <si>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</si>
  <si>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</si>
  <si>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</si>
  <si>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</si>
  <si>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</si>
  <si>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</si>
  <si>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</si>
  <si>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</si>
  <si>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</si>
  <si>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</si>
  <si>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</si>
  <si>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</si>
  <si>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</si>
  <si>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</si>
  <si>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</si>
  <si>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</si>
  <si>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</si>
  <si>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</si>
  <si>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</si>
  <si>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</si>
  <si>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</si>
  <si>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</si>
  <si>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</si>
  <si>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</si>
  <si>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</si>
  <si>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</si>
  <si>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</si>
  <si>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</si>
  <si>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</si>
  <si>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</si>
  <si>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</si>
  <si>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</si>
  <si>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</si>
  <si>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</si>
  <si>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</si>
  <si>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</si>
  <si>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</si>
  <si>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</si>
  <si>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</si>
  <si>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</si>
  <si>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</si>
  <si>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</si>
  <si>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</si>
  <si>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</si>
  <si>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</si>
  <si>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</si>
  <si>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</si>
  <si>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</si>
  <si>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</si>
  <si>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</si>
  <si>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</si>
  <si>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</si>
  <si>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</si>
  <si>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</si>
  <si>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</si>
  <si>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</si>
  <si>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</si>
  <si>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</si>
  <si>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</si>
  <si>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</si>
  <si>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</si>
  <si>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</si>
  <si>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</si>
  <si>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</si>
  <si>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</si>
  <si>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</si>
  <si>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</si>
  <si>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</si>
  <si>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</si>
  <si>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</si>
  <si>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</si>
  <si>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</si>
  <si>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</si>
  <si>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</si>
  <si>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</si>
  <si>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</si>
  <si>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</si>
  <si>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</si>
  <si>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</si>
  <si>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</si>
  <si>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</si>
  <si>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</si>
  <si>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</si>
  <si>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</si>
  <si>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</si>
  <si>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</si>
  <si>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</si>
  <si>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</si>
  <si>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</si>
  <si>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</si>
  <si>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</si>
  <si>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</si>
  <si>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</si>
  <si>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</si>
  <si>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</si>
  <si>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</si>
  <si>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</si>
  <si>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</si>
  <si>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</si>
  <si>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</si>
  <si>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</si>
  <si>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</si>
  <si>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</si>
  <si>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</si>
  <si>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</si>
  <si>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</si>
  <si>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</si>
  <si>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</si>
  <si>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</si>
  <si>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</si>
  <si>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</si>
  <si>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</si>
  <si>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</si>
  <si>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</si>
  <si>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</si>
  <si>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</si>
  <si>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</si>
  <si>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</si>
  <si>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</si>
  <si>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</si>
  <si>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</si>
  <si>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</si>
  <si>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</si>
  <si>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</si>
  <si>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</si>
  <si>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</si>
  <si>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</si>
  <si>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</si>
  <si>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</si>
  <si>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</si>
  <si>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</si>
  <si>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</si>
  <si>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</si>
  <si>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</si>
  <si>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</si>
  <si>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</si>
  <si>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</si>
  <si>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</si>
  <si>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</si>
  <si>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</si>
  <si>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</si>
  <si>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</si>
  <si>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</si>
  <si>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</si>
  <si>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</si>
  <si>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</si>
  <si>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</si>
  <si>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</si>
  <si>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</si>
  <si>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</si>
  <si>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</si>
  <si>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</si>
  <si>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</si>
  <si>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</si>
  <si>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</si>
  <si>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</si>
  <si>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</si>
  <si>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</si>
  <si>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</si>
  <si>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</si>
  <si>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</si>
  <si>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</si>
  <si>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</si>
  <si>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</si>
  <si>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</si>
  <si>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</si>
  <si>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</si>
  <si>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</si>
  <si>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</si>
  <si>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</si>
  <si>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</si>
  <si>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</si>
  <si>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</si>
  <si>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</si>
  <si>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</si>
  <si>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</si>
  <si>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</si>
  <si>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</si>
  <si>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</si>
  <si>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</si>
  <si>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</si>
  <si>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</si>
  <si>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</si>
  <si>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</si>
  <si>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</si>
  <si>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</si>
  <si>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</si>
  <si>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</si>
  <si>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</si>
  <si>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</si>
  <si>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</si>
  <si>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</si>
  <si>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</si>
  <si>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</si>
  <si>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</si>
  <si>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</si>
  <si>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</si>
  <si>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</si>
  <si>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</si>
  <si>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</si>
  <si>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</si>
  <si>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</si>
  <si>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</si>
  <si>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</si>
  <si>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</si>
  <si>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</si>
  <si>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</si>
  <si>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</si>
  <si>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</si>
  <si>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</si>
  <si>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</si>
  <si>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</si>
  <si>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</si>
  <si>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</si>
  <si>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</si>
  <si>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</si>
  <si>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</si>
  <si>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</si>
  <si>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</si>
  <si>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</si>
  <si>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</si>
  <si>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</si>
  <si>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</si>
  <si>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</si>
  <si>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</si>
  <si>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</si>
  <si>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</si>
  <si>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</si>
  <si>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</si>
  <si>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</si>
  <si>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</si>
  <si>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</si>
  <si>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</si>
  <si>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</si>
  <si>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</si>
  <si>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</si>
  <si>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</si>
  <si>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</si>
  <si>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</si>
  <si>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</si>
  <si>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</si>
  <si>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</si>
  <si>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</si>
  <si>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</si>
  <si>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</si>
  <si>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</si>
  <si>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</si>
  <si>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</si>
  <si>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</si>
  <si>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</si>
  <si>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</si>
  <si>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</si>
  <si>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</si>
  <si>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</si>
  <si>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</si>
  <si>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</si>
  <si>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</si>
  <si>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</si>
  <si>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</si>
  <si>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</si>
  <si>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</si>
  <si>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</si>
  <si>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</si>
  <si>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</si>
  <si>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</si>
  <si>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</si>
  <si>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</si>
  <si>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</si>
  <si>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</si>
  <si>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</si>
  <si>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</si>
  <si>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</si>
  <si>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</si>
  <si>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</si>
  <si>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</si>
  <si>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</si>
  <si>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</si>
  <si>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</si>
  <si>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</si>
  <si>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</si>
  <si>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</si>
  <si>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</si>
  <si>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</si>
  <si>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</si>
  <si>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</si>
  <si>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</si>
  <si>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</si>
  <si>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</si>
  <si>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</si>
  <si>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</si>
  <si>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</si>
  <si>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</si>
  <si>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</si>
  <si>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</si>
  <si>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</si>
  <si>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</si>
  <si>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</si>
  <si>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</si>
  <si>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</si>
  <si>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</si>
  <si>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</si>
  <si>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</si>
  <si>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</si>
  <si>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</si>
  <si>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</si>
  <si>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</si>
  <si>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</si>
  <si>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</si>
  <si>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</si>
  <si>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</si>
  <si>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</si>
  <si>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</si>
  <si>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</si>
  <si>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</si>
  <si>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</si>
  <si>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</si>
  <si>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</si>
  <si>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</si>
  <si>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</si>
  <si>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</si>
  <si>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</si>
  <si>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</si>
  <si>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</si>
  <si>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</si>
  <si>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</si>
  <si>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</si>
  <si>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</si>
  <si>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</si>
  <si>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</si>
  <si>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</si>
  <si>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</si>
  <si>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</si>
  <si>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</si>
  <si>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</si>
  <si>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</si>
  <si>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</si>
  <si>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</si>
  <si>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</si>
  <si>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</si>
  <si>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</si>
  <si>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</si>
  <si>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</si>
  <si>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</si>
  <si>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</si>
  <si>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</si>
  <si>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</si>
  <si>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</si>
  <si>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</si>
  <si>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</si>
  <si>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</si>
  <si>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</si>
  <si>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</si>
  <si>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</si>
  <si>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</si>
  <si>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</si>
  <si>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</si>
  <si>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</si>
  <si>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</si>
  <si>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</si>
  <si>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</si>
  <si>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</si>
  <si>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</si>
  <si>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</si>
  <si>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</si>
  <si>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</si>
  <si>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</si>
  <si>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</si>
  <si>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</si>
  <si>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</si>
  <si>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</si>
  <si>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</si>
  <si>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</si>
  <si>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</si>
  <si>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</si>
  <si>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</si>
  <si>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</si>
  <si>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</si>
  <si>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</si>
  <si>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</si>
  <si>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</si>
  <si>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</si>
  <si>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</si>
  <si>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</si>
  <si>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</si>
  <si>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</si>
  <si>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</si>
  <si>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</si>
  <si>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</si>
  <si>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</si>
  <si>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</si>
  <si>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</si>
  <si>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</si>
  <si>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</si>
  <si>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</si>
  <si>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</si>
  <si>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</si>
  <si>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</si>
  <si>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</si>
  <si>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</si>
  <si>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</si>
  <si>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</si>
  <si>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</si>
  <si>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</si>
  <si>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</si>
  <si>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</si>
  <si>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</si>
  <si>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</si>
  <si>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</si>
  <si>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</si>
  <si>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</si>
  <si>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</si>
  <si>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</si>
  <si>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</si>
  <si>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</si>
  <si>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</si>
  <si>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</si>
  <si>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</si>
  <si>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</si>
  <si>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</si>
  <si>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</si>
  <si>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</si>
  <si>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</si>
  <si>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</si>
  <si>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</si>
  <si>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</si>
  <si>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</si>
  <si>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</si>
  <si>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</si>
  <si>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</si>
  <si>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</si>
  <si>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</si>
  <si>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</si>
  <si>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</si>
  <si>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</si>
  <si>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</si>
  <si>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</si>
  <si>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</si>
  <si>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</si>
  <si>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</si>
  <si>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</si>
  <si>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</si>
  <si>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</si>
  <si>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</si>
  <si>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</si>
  <si>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</si>
  <si>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</si>
  <si>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</si>
  <si>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</si>
  <si>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</si>
  <si>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</si>
  <si>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</si>
  <si>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</si>
  <si>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</si>
  <si>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</si>
  <si>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</si>
  <si>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</si>
  <si>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</si>
  <si>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</si>
  <si>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</si>
  <si>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</si>
  <si>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</si>
  <si>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</si>
  <si>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</si>
  <si>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</si>
  <si>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</si>
  <si>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</si>
  <si>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</si>
  <si>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</si>
  <si>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</si>
  <si>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</si>
  <si>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</si>
  <si>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</si>
  <si>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</si>
  <si>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</si>
  <si>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</si>
  <si>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</si>
  <si>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</si>
  <si>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</si>
  <si>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</si>
  <si>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</si>
  <si>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</si>
  <si>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</si>
  <si>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</si>
  <si>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</si>
  <si>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</si>
  <si>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</si>
  <si>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</si>
  <si>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</si>
  <si>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</si>
  <si>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</si>
  <si>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</si>
  <si>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</si>
  <si>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</si>
  <si>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</si>
  <si>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</si>
  <si>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</si>
  <si>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</si>
  <si>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</si>
  <si>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</si>
  <si>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</si>
  <si>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</si>
  <si>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</si>
  <si>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</si>
  <si>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</si>
  <si>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</si>
  <si>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</si>
  <si>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</si>
  <si>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</si>
  <si>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</si>
  <si>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</si>
  <si>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</si>
  <si>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</si>
  <si>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</si>
  <si>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</si>
  <si>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</si>
  <si>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</si>
  <si>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</si>
  <si>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</si>
  <si>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</si>
  <si>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</si>
  <si>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</si>
  <si>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</si>
  <si>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</si>
  <si>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</si>
  <si>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</si>
  <si>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</si>
  <si>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</si>
  <si>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</si>
  <si>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</si>
  <si>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</si>
  <si>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</si>
  <si>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</si>
  <si>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</si>
  <si>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</si>
  <si>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</si>
  <si>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</si>
  <si>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</si>
  <si>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</si>
  <si>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</si>
  <si>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</si>
  <si>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</si>
  <si>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</si>
  <si>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</si>
  <si>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</si>
  <si>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</si>
  <si>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</si>
  <si>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</si>
  <si>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</si>
  <si>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</si>
  <si>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</si>
  <si>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</si>
  <si>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</si>
  <si>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</si>
  <si>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</si>
  <si>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</si>
  <si>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</si>
  <si>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</si>
  <si>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</si>
  <si>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</si>
  <si>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</si>
  <si>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</si>
  <si>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</si>
  <si>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</si>
  <si>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</si>
  <si>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</si>
  <si>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</si>
  <si>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</si>
  <si>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</si>
  <si>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</si>
  <si>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</si>
  <si>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</si>
  <si>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</si>
  <si>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</si>
  <si>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</si>
  <si>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</si>
  <si>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</si>
  <si>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</si>
  <si>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</si>
  <si>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</si>
  <si>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</si>
  <si>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</si>
  <si>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</si>
  <si>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</si>
  <si>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</si>
  <si>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</si>
  <si>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</si>
  <si>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</si>
  <si>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</si>
  <si>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</si>
  <si>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</si>
  <si>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</si>
  <si>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</si>
  <si>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</si>
  <si>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</si>
  <si>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</si>
  <si>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</si>
  <si>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</si>
  <si>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</si>
  <si>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</si>
  <si>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</si>
  <si>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</si>
  <si>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</si>
  <si>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</si>
  <si>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</si>
  <si>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</si>
  <si>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</si>
  <si>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</si>
  <si>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</si>
  <si>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</si>
  <si>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</si>
  <si>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</si>
  <si>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</si>
  <si>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</si>
  <si>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</si>
  <si>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</si>
  <si>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</si>
  <si>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</si>
  <si>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</si>
  <si>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</si>
  <si>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</si>
  <si>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</si>
  <si>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</si>
  <si>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</si>
  <si>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</si>
  <si>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</si>
  <si>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</si>
  <si>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</si>
  <si>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</si>
  <si>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</si>
  <si>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</si>
  <si>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</si>
  <si>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</si>
  <si>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</si>
  <si>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</si>
  <si>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</si>
  <si>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</si>
  <si>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</si>
  <si>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</si>
  <si>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</si>
  <si>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</si>
  <si>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</si>
  <si>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</si>
  <si>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</si>
  <si>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</si>
  <si>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</si>
  <si>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</si>
  <si>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</si>
  <si>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</si>
  <si>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</si>
  <si>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</si>
  <si>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</si>
  <si>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</si>
  <si>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</si>
  <si>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</si>
  <si>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</si>
  <si>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</si>
  <si>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</si>
  <si>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</si>
  <si>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</si>
  <si>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</si>
  <si>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</si>
  <si>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</si>
  <si>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</si>
  <si>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</si>
  <si>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</si>
  <si>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</si>
  <si>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</si>
  <si>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</si>
  <si>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</si>
  <si>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</si>
  <si>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</si>
  <si>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</si>
  <si>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</si>
  <si>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</si>
  <si>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</si>
  <si>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</si>
  <si>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</si>
  <si>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</si>
  <si>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</si>
  <si>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</si>
  <si>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</si>
  <si>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</si>
  <si>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</si>
  <si>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</si>
  <si>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</si>
  <si>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</si>
  <si>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</si>
  <si>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</si>
  <si>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</si>
  <si>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</si>
  <si>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</si>
  <si>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</si>
  <si>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</si>
  <si>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</si>
  <si>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</si>
  <si>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</si>
  <si>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</si>
  <si>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</si>
  <si>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</si>
  <si>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</si>
  <si>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</si>
  <si>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</si>
  <si>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</si>
  <si>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</si>
  <si>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</si>
  <si>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</si>
  <si>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</si>
  <si>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</si>
  <si>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</si>
  <si>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</si>
  <si>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</si>
  <si>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</si>
  <si>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</si>
  <si>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</si>
  <si>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</si>
  <si>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</si>
  <si>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</si>
  <si>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</si>
  <si>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</si>
  <si>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</si>
  <si>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</si>
  <si>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</si>
  <si>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</si>
  <si>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</si>
  <si>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</si>
  <si>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</si>
  <si>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</si>
  <si>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</si>
  <si>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</si>
  <si>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</si>
  <si>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</si>
  <si>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</si>
  <si>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</si>
  <si>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</si>
  <si>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</si>
  <si>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</si>
  <si>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</si>
  <si>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</si>
  <si>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</si>
  <si>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</si>
  <si>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</si>
  <si>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</si>
  <si>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</si>
  <si>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</si>
  <si>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</si>
  <si>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</si>
  <si>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</si>
  <si>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</si>
  <si>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</si>
  <si>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</si>
  <si>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</si>
  <si>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</si>
  <si>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</si>
  <si>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</si>
  <si>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</si>
  <si>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</si>
  <si>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</si>
  <si>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</si>
  <si>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</si>
  <si>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</si>
  <si>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</si>
  <si>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</si>
  <si>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</si>
  <si>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</si>
  <si>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</si>
  <si>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</si>
  <si>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</si>
  <si>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</si>
  <si>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</si>
  <si>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</si>
  <si>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</si>
  <si>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</si>
  <si>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</si>
  <si>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</si>
  <si>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</si>
  <si>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</si>
  <si>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</si>
  <si>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</si>
  <si>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</si>
  <si>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</si>
  <si>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</si>
  <si>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</si>
  <si>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</si>
  <si>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</si>
  <si>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</si>
  <si>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</si>
  <si>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</si>
  <si>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</si>
  <si>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</si>
  <si>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</si>
  <si>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</si>
  <si>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</si>
  <si>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</si>
  <si>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</si>
  <si>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</si>
  <si>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</si>
  <si>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</si>
  <si>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</si>
  <si>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</si>
  <si>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</si>
  <si>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</si>
  <si>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</si>
  <si>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</si>
  <si>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</si>
  <si>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</si>
  <si>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</si>
  <si>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</si>
  <si>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</si>
  <si>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</si>
  <si>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</si>
  <si>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</si>
  <si>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</si>
  <si>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</si>
  <si>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</si>
  <si>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</si>
  <si>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</si>
  <si>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</si>
  <si>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</si>
  <si>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</si>
  <si>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</si>
  <si>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</si>
  <si>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</si>
  <si>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</si>
  <si>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</si>
  <si>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</si>
  <si>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</si>
  <si>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</si>
  <si>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</si>
  <si>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</si>
  <si>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</si>
  <si>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</si>
  <si>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</si>
  <si>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</si>
  <si>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</si>
  <si>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</si>
  <si>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</si>
  <si>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</si>
  <si>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</si>
  <si>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</si>
  <si>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</si>
  <si>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</si>
  <si>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</si>
  <si>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</si>
  <si>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</si>
  <si>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</si>
  <si>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</si>
  <si>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</si>
  <si>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</si>
  <si>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</si>
  <si>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</si>
  <si>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</si>
  <si>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</si>
  <si>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</si>
  <si>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</si>
  <si>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</si>
  <si>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</si>
  <si>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</si>
  <si>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</si>
  <si>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</si>
  <si>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</si>
  <si>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</si>
  <si>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</si>
  <si>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</si>
  <si>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</si>
  <si>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</si>
  <si>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</si>
  <si>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</si>
  <si>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</si>
  <si>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</si>
  <si>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</si>
  <si>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</si>
  <si>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</si>
  <si>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</si>
  <si>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</si>
  <si>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</si>
  <si>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</si>
  <si>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</si>
  <si>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</si>
  <si>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</si>
  <si>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</si>
  <si>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</si>
  <si>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</si>
  <si>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</si>
  <si>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</si>
  <si>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</si>
  <si>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</si>
  <si>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</si>
  <si>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</si>
  <si>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</si>
  <si>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</si>
  <si>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</si>
  <si>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</si>
  <si>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</si>
  <si>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</si>
  <si>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</si>
  <si>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</si>
  <si>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</si>
  <si>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</si>
  <si>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</si>
  <si>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</si>
  <si>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</si>
  <si>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</si>
  <si>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</si>
  <si>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</si>
  <si>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</si>
  <si>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</si>
  <si>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</si>
  <si>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</si>
  <si>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</si>
  <si>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</si>
  <si>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</si>
  <si>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</si>
  <si>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</si>
  <si>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</si>
  <si>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</si>
  <si>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</si>
  <si>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</si>
  <si>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</si>
  <si>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</si>
  <si>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</si>
  <si>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</si>
  <si>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</si>
  <si>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</si>
  <si>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</si>
  <si>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</si>
  <si>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</si>
  <si>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</si>
  <si>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</si>
  <si>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</si>
  <si>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</si>
  <si>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</si>
  <si>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</si>
  <si>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</si>
  <si>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</si>
  <si>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</si>
  <si>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</si>
  <si>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</si>
  <si>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</si>
  <si>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</si>
  <si>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</si>
  <si>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</si>
  <si>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</si>
  <si>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</si>
  <si>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</si>
  <si>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</si>
  <si>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</si>
  <si>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</si>
  <si>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</si>
  <si>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</si>
  <si>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</si>
  <si>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</si>
  <si>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</si>
  <si>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</si>
  <si>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</si>
  <si>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</si>
  <si>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</si>
  <si>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</si>
  <si>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</si>
  <si>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</si>
  <si>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</si>
  <si>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</si>
  <si>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</si>
  <si>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</si>
  <si>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</si>
  <si>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</si>
  <si>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</si>
  <si>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</si>
  <si>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</si>
  <si>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</si>
  <si>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</si>
  <si>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</si>
  <si>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</si>
  <si>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</si>
  <si>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</si>
  <si>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</si>
  <si>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</si>
  <si>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</si>
  <si>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</si>
  <si>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</si>
  <si>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</si>
  <si>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</si>
  <si>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</si>
  <si>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</si>
  <si>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</si>
  <si>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</si>
  <si>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</si>
  <si>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</si>
  <si>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</si>
  <si>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</si>
  <si>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</si>
  <si>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</si>
  <si>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</si>
  <si>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</si>
  <si>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</si>
  <si>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</si>
  <si>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</si>
  <si>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</si>
  <si>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</si>
  <si>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</si>
  <si>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</si>
  <si>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</si>
  <si>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</si>
  <si>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</si>
  <si>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</si>
  <si>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</si>
  <si>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</si>
  <si>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</si>
  <si>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</si>
  <si>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</si>
  <si>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</si>
  <si>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</si>
  <si>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</si>
  <si>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</si>
  <si>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</si>
  <si>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</si>
  <si>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</si>
  <si>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</si>
  <si>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</si>
  <si>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</si>
  <si>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</si>
  <si>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</si>
  <si>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</si>
  <si>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</si>
  <si>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</si>
  <si>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</si>
  <si>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</si>
  <si>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</si>
  <si>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</si>
  <si>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</si>
  <si>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</si>
  <si>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</si>
  <si>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</si>
  <si>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</si>
  <si>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</si>
  <si>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</si>
  <si>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</si>
  <si>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</si>
  <si>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</si>
  <si>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</si>
  <si>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</si>
  <si>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</si>
  <si>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</si>
  <si>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</si>
  <si>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</si>
  <si>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</si>
  <si>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</si>
  <si>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</si>
  <si>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</si>
  <si>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</si>
  <si>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</si>
  <si>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</si>
  <si>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</si>
  <si>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</si>
  <si>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</si>
  <si>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</si>
  <si>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</si>
  <si>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</si>
  <si>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</si>
  <si>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</si>
  <si>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</si>
  <si>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</si>
  <si>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</si>
  <si>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</si>
  <si>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</si>
  <si>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</si>
  <si>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</si>
  <si>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</si>
  <si>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</si>
  <si>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</si>
  <si>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</si>
  <si>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</si>
  <si>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</si>
  <si>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</si>
  <si>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</si>
  <si>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</si>
  <si>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</si>
  <si>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</si>
  <si>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</si>
  <si>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</si>
  <si>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</si>
  <si>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</si>
  <si>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</si>
  <si>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</si>
  <si>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</si>
  <si>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</si>
  <si>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</si>
  <si>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</si>
  <si>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</si>
  <si>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</si>
  <si>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</si>
  <si>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</si>
  <si>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</si>
  <si>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</si>
  <si>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</si>
  <si>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</si>
  <si>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</si>
  <si>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</si>
  <si>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</si>
  <si>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</si>
  <si>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</si>
  <si>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</si>
  <si>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</si>
  <si>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</si>
  <si>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</si>
  <si>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</si>
  <si>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</si>
  <si>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</si>
  <si>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</si>
  <si>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</si>
  <si>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</si>
  <si>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</si>
  <si>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</si>
  <si>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</si>
  <si>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</si>
  <si>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</si>
  <si>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</si>
  <si>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</si>
  <si>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</si>
  <si>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</si>
  <si>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</si>
  <si>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</si>
  <si>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</si>
  <si>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</si>
  <si>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</si>
  <si>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</si>
  <si>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</si>
  <si>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</si>
  <si>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</si>
  <si>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</si>
  <si>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</si>
  <si>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</si>
  <si>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</si>
  <si>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</si>
  <si>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</si>
  <si>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</si>
  <si>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</si>
  <si>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</si>
  <si>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</si>
  <si>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</si>
  <si>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</si>
  <si>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</si>
  <si>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</si>
  <si>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</si>
  <si>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</si>
  <si>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</si>
  <si>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</si>
  <si>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</si>
  <si>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</si>
  <si>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</si>
  <si>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</si>
  <si>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</si>
  <si>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</si>
  <si>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</si>
  <si>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</si>
  <si>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</si>
  <si>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</si>
  <si>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</si>
  <si>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</si>
  <si>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</si>
  <si>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</si>
  <si>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</si>
  <si>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</si>
  <si>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</si>
  <si>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</si>
  <si>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</si>
  <si>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</si>
  <si>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</si>
  <si>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</si>
  <si>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</si>
  <si>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</si>
  <si>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</si>
  <si>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</si>
  <si>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</si>
  <si>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</si>
  <si>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</si>
  <si>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</si>
  <si>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</si>
  <si>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</si>
  <si>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</si>
  <si>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</si>
  <si>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</si>
  <si>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</si>
  <si>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</si>
  <si>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</si>
  <si>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</si>
  <si>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</si>
  <si>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</si>
  <si>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</si>
  <si>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</si>
  <si>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</si>
  <si>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</si>
  <si>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</si>
  <si>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</si>
  <si>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</si>
  <si>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</si>
  <si>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</si>
  <si>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</si>
  <si>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</si>
  <si>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</si>
  <si>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</si>
  <si>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</si>
  <si>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</si>
  <si>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</si>
  <si>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</si>
  <si>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</si>
  <si>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</si>
  <si>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</si>
  <si>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</si>
  <si>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</si>
  <si>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</si>
  <si>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</si>
  <si>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</si>
  <si>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</si>
  <si>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</si>
  <si>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</si>
  <si>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</si>
  <si>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</si>
  <si>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</si>
  <si>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</si>
  <si>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</si>
  <si>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</si>
  <si>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</si>
  <si>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</si>
  <si>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</si>
  <si>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</si>
  <si>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</si>
  <si>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</si>
  <si>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</si>
  <si>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</si>
  <si>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</si>
  <si>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</si>
  <si>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</si>
  <si>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</si>
  <si>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</si>
  <si>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</si>
  <si>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</si>
  <si>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</si>
  <si>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</si>
  <si>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</si>
  <si>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</si>
  <si>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</si>
  <si>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</si>
  <si>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</si>
  <si>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</si>
  <si>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</si>
  <si>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</si>
  <si>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</si>
  <si>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</si>
  <si>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</si>
  <si>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</si>
  <si>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</si>
  <si>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</si>
  <si>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</si>
  <si>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</si>
  <si>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</si>
  <si>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</si>
  <si>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</si>
  <si>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</si>
  <si>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</si>
  <si>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</si>
  <si>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</si>
  <si>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</si>
  <si>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</si>
  <si>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</si>
  <si>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</si>
  <si>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</si>
  <si>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</si>
  <si>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</si>
  <si>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</si>
  <si>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</si>
  <si>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</si>
  <si>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</si>
  <si>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</si>
  <si>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</si>
  <si>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</si>
  <si>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</si>
  <si>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</si>
  <si>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</si>
  <si>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</si>
  <si>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</si>
  <si>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</si>
  <si>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</si>
  <si>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</si>
  <si>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</si>
  <si>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</si>
  <si>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</si>
  <si>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</si>
  <si>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</si>
  <si>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</si>
  <si>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</si>
  <si>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</si>
  <si>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</si>
  <si>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</si>
  <si>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</si>
  <si>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</si>
  <si>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</si>
  <si>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</si>
  <si>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</si>
  <si>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</si>
  <si>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</si>
  <si>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</si>
  <si>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</si>
  <si>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</si>
  <si>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</si>
  <si>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</si>
  <si>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</si>
  <si>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</si>
  <si>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</si>
  <si>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</si>
  <si>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</si>
  <si>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</si>
  <si>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</si>
  <si>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</si>
  <si>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</si>
  <si>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</si>
  <si>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</si>
  <si>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</si>
  <si>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</si>
  <si>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</si>
  <si>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</si>
  <si>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</si>
  <si>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</si>
  <si>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</si>
  <si>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</si>
  <si>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</si>
  <si>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</si>
  <si>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</si>
  <si>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</si>
  <si>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</si>
  <si>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</si>
  <si>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</si>
  <si>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</si>
  <si>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</si>
  <si>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</si>
  <si>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</si>
  <si>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</si>
  <si>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</si>
  <si>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</si>
  <si>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</si>
  <si>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</si>
  <si>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</si>
  <si>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</si>
  <si>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</si>
  <si>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</si>
  <si>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</si>
  <si>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</si>
  <si>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</si>
  <si>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</si>
  <si>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</si>
  <si>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</si>
  <si>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</si>
  <si>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</si>
  <si>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</si>
  <si>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</si>
  <si>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</si>
  <si>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</si>
  <si>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</si>
  <si>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</si>
  <si>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</si>
  <si>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</si>
  <si>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</si>
  <si>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</si>
  <si>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</si>
  <si>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</si>
  <si>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</si>
  <si>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</si>
  <si>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</si>
  <si>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</si>
  <si>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</si>
  <si>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</si>
  <si>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</si>
  <si>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</si>
  <si>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</si>
  <si>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</si>
  <si>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</si>
  <si>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</si>
  <si>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</si>
  <si>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</si>
  <si>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</si>
  <si>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</si>
  <si>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</si>
  <si>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</si>
  <si>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</si>
  <si>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</si>
  <si>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</si>
  <si>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</si>
  <si>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</si>
  <si>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</si>
  <si>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</si>
  <si>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</si>
  <si>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</si>
  <si>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</si>
  <si>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</si>
  <si>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</si>
  <si>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</si>
  <si>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</si>
  <si>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</si>
  <si>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</si>
  <si>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</si>
  <si>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</si>
  <si>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</si>
  <si>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</si>
  <si>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</si>
  <si>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</si>
  <si>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</si>
  <si>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</si>
  <si>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</si>
  <si>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</si>
  <si>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</si>
  <si>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</si>
  <si>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</si>
  <si>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</si>
  <si>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</si>
  <si>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</si>
  <si>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</si>
  <si>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</si>
  <si>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</si>
  <si>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</si>
  <si>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</si>
  <si>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</si>
  <si>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</si>
  <si>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</si>
  <si>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</si>
  <si>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</si>
  <si>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</si>
  <si>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</si>
  <si>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</si>
  <si>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</si>
  <si>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</si>
  <si>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</si>
  <si>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</si>
  <si>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</si>
  <si>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</si>
  <si>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</si>
  <si>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</si>
  <si>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</si>
  <si>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</si>
  <si>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</si>
  <si>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</si>
  <si>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</si>
  <si>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</si>
  <si>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</si>
  <si>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</si>
  <si>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</si>
  <si>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</si>
  <si>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</si>
  <si>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</si>
  <si>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</si>
  <si>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</si>
  <si>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</si>
  <si>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</si>
  <si>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</si>
  <si>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</si>
  <si>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</si>
  <si>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</si>
  <si>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</si>
  <si>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</si>
  <si>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</si>
  <si>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</si>
  <si>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</si>
  <si>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</si>
  <si>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</si>
  <si>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</si>
  <si>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</si>
  <si>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</si>
  <si>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</si>
  <si>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</si>
  <si>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</si>
  <si>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</si>
  <si>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</si>
  <si>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</si>
  <si>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</si>
  <si>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</si>
  <si>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</si>
  <si>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</si>
  <si>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</si>
  <si>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</si>
  <si>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</si>
  <si>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</si>
  <si>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</si>
  <si>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</si>
  <si>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</si>
  <si>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</si>
  <si>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</si>
  <si>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</si>
  <si>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</si>
  <si>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</si>
  <si>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</si>
  <si>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</si>
  <si>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</si>
  <si>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</si>
  <si>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</si>
  <si>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</si>
  <si>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</si>
  <si>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</si>
  <si>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</si>
  <si>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</si>
  <si>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</si>
  <si>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</si>
  <si>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</si>
  <si>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</si>
  <si>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</si>
  <si>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</si>
  <si>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</si>
  <si>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</si>
  <si>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</si>
  <si>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</si>
  <si>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</si>
  <si>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</si>
  <si>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</si>
  <si>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</si>
  <si>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</si>
  <si>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</si>
  <si>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</si>
  <si>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</si>
  <si>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</si>
  <si>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</si>
  <si>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</si>
  <si>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</si>
  <si>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</si>
  <si>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</si>
  <si>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</si>
  <si>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</si>
  <si>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</si>
  <si>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</si>
  <si>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</si>
  <si>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</si>
  <si>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</si>
  <si>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</si>
  <si>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</si>
  <si>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</si>
  <si>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</si>
  <si>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</si>
  <si>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</si>
  <si>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</si>
  <si>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</si>
  <si>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</si>
  <si>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</si>
  <si>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</si>
  <si>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</si>
  <si>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</si>
  <si>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</si>
  <si>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</si>
  <si>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</si>
  <si>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</si>
  <si>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</si>
  <si>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</si>
  <si>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</si>
  <si>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</si>
  <si>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</si>
  <si>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</si>
  <si>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</si>
  <si>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</si>
  <si>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</si>
  <si>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</si>
  <si>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</si>
  <si>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</si>
  <si>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</si>
  <si>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</si>
  <si>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</si>
  <si>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</si>
  <si>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</si>
  <si>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</si>
  <si>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</si>
  <si>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</si>
  <si>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</si>
  <si>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</si>
  <si>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</si>
  <si>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</si>
  <si>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</si>
  <si>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</si>
  <si>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</si>
  <si>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</si>
  <si>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</si>
  <si>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</si>
  <si>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</si>
  <si>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</si>
  <si>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</si>
  <si>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</si>
  <si>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</si>
  <si>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</si>
  <si>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</si>
  <si>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</si>
  <si>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</si>
  <si>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</si>
  <si>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</si>
  <si>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</si>
  <si>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</si>
  <si>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</si>
  <si>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</si>
  <si>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</si>
  <si>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</si>
  <si>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</si>
  <si>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</si>
  <si>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</si>
  <si>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</si>
  <si>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</si>
  <si>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</si>
  <si>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</si>
  <si>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</si>
  <si>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</si>
  <si>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</si>
  <si>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</si>
  <si>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</si>
  <si>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</si>
  <si>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</si>
  <si>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</si>
  <si>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</si>
  <si>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</si>
  <si>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</si>
  <si>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</si>
  <si>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</si>
  <si>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</si>
  <si>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</si>
  <si>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</si>
  <si>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</si>
  <si>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</si>
  <si>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</si>
  <si>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</si>
  <si>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</si>
  <si>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</si>
  <si>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</si>
  <si>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</si>
  <si>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</si>
  <si>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</si>
  <si>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</si>
  <si>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</si>
  <si>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</si>
  <si>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</si>
  <si>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</si>
  <si>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</si>
  <si>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</si>
  <si>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</si>
  <si>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</si>
  <si>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</si>
  <si>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</si>
  <si>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</si>
  <si>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</si>
  <si>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</si>
  <si>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</si>
  <si>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</si>
  <si>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</si>
  <si>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</si>
  <si>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</si>
  <si>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</si>
  <si>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</si>
  <si>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</si>
  <si>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</si>
  <si>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</si>
  <si>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</si>
  <si>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</si>
  <si>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</si>
  <si>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</si>
  <si>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</si>
  <si>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</si>
  <si>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</si>
  <si>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</si>
  <si>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</si>
  <si>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</si>
  <si>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</si>
  <si>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</si>
  <si>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</si>
  <si>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</si>
  <si>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</si>
  <si>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</si>
  <si>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</si>
  <si>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</si>
  <si>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</si>
  <si>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</si>
  <si>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</si>
  <si>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</si>
  <si>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</si>
  <si>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</si>
  <si>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</si>
  <si>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</si>
  <si>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</si>
  <si>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</si>
  <si>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</si>
  <si>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</si>
  <si>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</si>
  <si>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</si>
  <si>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</si>
  <si>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</si>
  <si>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</si>
  <si>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</si>
  <si>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</si>
  <si>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</si>
  <si>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</si>
  <si>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</si>
  <si>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</si>
  <si>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</si>
  <si>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</si>
  <si>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</si>
  <si>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</si>
  <si>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</si>
  <si>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</si>
  <si>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</si>
  <si>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</si>
  <si>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</si>
  <si>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</si>
  <si>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</si>
  <si>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</si>
  <si>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</si>
  <si>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</si>
  <si>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</si>
  <si>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</si>
  <si>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</si>
  <si>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</si>
  <si>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</si>
  <si>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</si>
  <si>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</si>
  <si>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</si>
  <si>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</si>
  <si>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</si>
  <si>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</si>
  <si>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</si>
  <si>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</si>
  <si>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</si>
  <si>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</si>
  <si>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</si>
  <si>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</si>
  <si>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</si>
  <si>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</si>
  <si>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</si>
  <si>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</si>
  <si>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</si>
  <si>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</si>
  <si>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</si>
  <si>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</si>
  <si>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</si>
  <si>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</si>
  <si>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</si>
  <si>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</si>
  <si>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</si>
  <si>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</si>
  <si>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</si>
  <si>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</si>
  <si>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</si>
  <si>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</si>
  <si>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</si>
  <si>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</si>
  <si>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</si>
  <si>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</si>
  <si>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</si>
  <si>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</si>
  <si>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</si>
  <si>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</si>
  <si>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</si>
  <si>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</si>
  <si>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</si>
  <si>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</si>
  <si>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</si>
  <si>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</si>
  <si>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</si>
  <si>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</si>
  <si>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</si>
  <si>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</si>
  <si>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</si>
  <si>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</si>
  <si>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</si>
  <si>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</si>
  <si>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</si>
  <si>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</si>
  <si>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</si>
  <si>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</si>
  <si>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</si>
  <si>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</si>
  <si>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</si>
  <si>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</si>
  <si>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</si>
  <si>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</si>
  <si>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</si>
  <si>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</si>
  <si>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</si>
  <si>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</si>
  <si>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</si>
  <si>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</si>
  <si>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</si>
  <si>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</si>
  <si>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</si>
  <si>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</si>
  <si>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</si>
  <si>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</si>
  <si>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</si>
  <si>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</si>
  <si>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</si>
  <si>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</si>
  <si>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</si>
  <si>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</si>
  <si>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</si>
  <si>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</si>
  <si>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</si>
  <si>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</si>
  <si>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</si>
  <si>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</si>
  <si>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</si>
  <si>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</si>
  <si>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</si>
  <si>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</si>
  <si>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</si>
  <si>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</si>
  <si>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</si>
  <si>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</si>
  <si>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</si>
  <si>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</si>
  <si>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</si>
  <si>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</si>
  <si>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</si>
  <si>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</si>
  <si>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</si>
  <si>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</si>
  <si>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</si>
  <si>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</si>
  <si>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</si>
  <si>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</si>
  <si>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</si>
  <si>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</si>
  <si>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</si>
  <si>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</si>
  <si>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</si>
  <si>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</si>
  <si>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</si>
  <si>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</si>
  <si>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</si>
  <si>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</si>
  <si>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</si>
  <si>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</si>
  <si>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</si>
  <si>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</si>
  <si>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</si>
  <si>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</si>
  <si>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</si>
  <si>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</si>
  <si>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</si>
  <si>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</si>
  <si>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</si>
  <si>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</si>
  <si>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</si>
  <si>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</si>
  <si>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</si>
  <si>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</si>
  <si>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</si>
  <si>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</si>
  <si>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</si>
  <si>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</si>
  <si>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</si>
  <si>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</si>
  <si>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</si>
  <si>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</si>
  <si>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</si>
  <si>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</si>
  <si>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</si>
  <si>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</si>
  <si>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</si>
  <si>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</si>
  <si>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</si>
  <si>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</si>
  <si>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</si>
  <si>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</si>
  <si>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</si>
  <si>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</si>
  <si>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</si>
  <si>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</si>
  <si>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</si>
  <si>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</si>
  <si>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</si>
  <si>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</si>
  <si>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</si>
  <si>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</si>
  <si>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</si>
  <si>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</si>
  <si>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</si>
  <si>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</si>
  <si>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</si>
  <si>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</si>
  <si>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</si>
  <si>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</si>
  <si>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</si>
  <si>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</si>
  <si>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</si>
  <si>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</si>
  <si>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</si>
  <si>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</si>
  <si>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</si>
  <si>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</si>
  <si>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</si>
  <si>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</si>
  <si>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</si>
  <si>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</si>
  <si>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</si>
  <si>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</si>
  <si>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</si>
  <si>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</si>
  <si>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</si>
  <si>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</si>
  <si>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</si>
  <si>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</si>
  <si>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</si>
  <si>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</si>
  <si>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</si>
  <si>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</si>
  <si>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</si>
  <si>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</si>
  <si>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</si>
  <si>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</si>
  <si>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</si>
  <si>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</si>
  <si>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</si>
  <si>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</si>
  <si>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</si>
  <si>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</si>
  <si>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</si>
  <si>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</si>
  <si>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</si>
  <si>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</si>
  <si>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</si>
  <si>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</si>
  <si>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</si>
  <si>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</si>
  <si>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</si>
  <si>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</si>
  <si>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</si>
  <si>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</si>
  <si>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</si>
  <si>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</si>
  <si>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</si>
  <si>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</si>
  <si>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</si>
  <si>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</si>
  <si>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</si>
  <si>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</si>
  <si>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</si>
  <si>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</si>
  <si>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</si>
  <si>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</si>
  <si>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</si>
  <si>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</si>
  <si>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</si>
  <si>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</si>
  <si>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</si>
  <si>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</si>
  <si>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</si>
  <si>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</si>
  <si>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</si>
  <si>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</si>
  <si>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</si>
  <si>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</si>
  <si>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</si>
  <si>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</si>
  <si>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</si>
  <si>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</si>
  <si>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</si>
  <si>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</si>
  <si>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</si>
  <si>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</si>
  <si>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</si>
  <si>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</si>
  <si>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</si>
  <si>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</si>
  <si>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</si>
  <si>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</si>
  <si>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</si>
  <si>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</si>
  <si>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</si>
  <si>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</si>
  <si>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</si>
  <si>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</si>
  <si>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</si>
  <si>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</si>
  <si>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</si>
  <si>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</si>
  <si>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</si>
  <si>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</si>
  <si>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</si>
  <si>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</si>
  <si>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</si>
  <si>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</si>
  <si>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</si>
  <si>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</si>
  <si>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</si>
  <si>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</si>
  <si>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</si>
  <si>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</si>
  <si>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</si>
  <si>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</si>
  <si>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</si>
  <si>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</si>
  <si>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</si>
  <si>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</si>
  <si>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</si>
  <si>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</si>
  <si>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</si>
  <si>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</si>
  <si>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</si>
  <si>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</si>
  <si>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</si>
  <si>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</si>
  <si>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</si>
  <si>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</si>
  <si>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</si>
  <si>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</si>
  <si>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</si>
  <si>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</si>
  <si>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</si>
  <si>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</si>
  <si>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</si>
  <si>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</si>
  <si>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</si>
  <si>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</si>
  <si>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</si>
  <si>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</si>
  <si>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</si>
  <si>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</si>
  <si>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</si>
  <si>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</si>
  <si>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</si>
  <si>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</si>
  <si>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</si>
  <si>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</si>
  <si>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</si>
  <si>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</si>
  <si>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</si>
  <si>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</si>
  <si>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</si>
  <si>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</si>
  <si>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</si>
  <si>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</si>
  <si>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</si>
  <si>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</si>
  <si>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</si>
  <si>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</si>
  <si>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</si>
  <si>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</si>
  <si>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</si>
  <si>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</si>
  <si>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</si>
  <si>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</si>
  <si>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</si>
  <si>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</si>
  <si>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</si>
  <si>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</si>
  <si>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</si>
  <si>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</si>
  <si>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</si>
  <si>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</si>
  <si>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</si>
  <si>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</si>
  <si>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</si>
  <si>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</si>
  <si>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</si>
  <si>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</si>
  <si>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</si>
  <si>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</si>
  <si>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</si>
  <si>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</si>
  <si>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</si>
  <si>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</si>
  <si>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</si>
  <si>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</si>
  <si>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</si>
  <si>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</si>
  <si>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</si>
  <si>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</si>
  <si>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</si>
  <si>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</si>
  <si>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</si>
  <si>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</si>
  <si>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</si>
  <si>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</si>
  <si>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</si>
  <si>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</si>
  <si>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</si>
  <si>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</si>
  <si>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</si>
  <si>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</si>
  <si>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</si>
  <si>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</si>
  <si>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</si>
  <si>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</si>
  <si>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</si>
  <si>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</si>
  <si>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</si>
  <si>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</si>
  <si>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</si>
  <si>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</si>
  <si>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</si>
  <si>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</si>
  <si>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</si>
  <si>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</si>
  <si>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</si>
  <si>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</si>
  <si>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</si>
  <si>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</si>
  <si>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</si>
  <si>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</si>
  <si>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</si>
  <si>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</si>
  <si>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</si>
  <si>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</si>
  <si>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</si>
  <si>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</si>
  <si>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</si>
  <si>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</si>
  <si>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</si>
  <si>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</si>
  <si>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</si>
  <si>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</si>
  <si>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</si>
  <si>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</si>
  <si>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</si>
  <si>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</si>
  <si>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</si>
  <si>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</si>
  <si>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</si>
  <si>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</si>
  <si>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</si>
  <si>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</si>
  <si>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</si>
  <si>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</si>
  <si>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</si>
  <si>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</si>
  <si>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</si>
  <si>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</si>
  <si>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</si>
  <si>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</si>
  <si>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</si>
  <si>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</si>
  <si>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</si>
  <si>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</si>
  <si>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</si>
  <si>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</si>
  <si>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</si>
  <si>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</si>
  <si>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</si>
  <si>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</si>
  <si>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</si>
  <si>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</si>
  <si>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</si>
  <si>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</si>
  <si>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</si>
  <si>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</si>
  <si>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</si>
  <si>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</si>
  <si>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</si>
  <si>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</si>
  <si>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</si>
  <si>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</si>
  <si>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</si>
  <si>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</si>
  <si>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</si>
  <si>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</si>
  <si>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</si>
  <si>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</si>
  <si>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</si>
  <si>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</si>
  <si>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</si>
  <si>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</si>
  <si>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</si>
  <si>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</si>
  <si>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</si>
  <si>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</si>
  <si>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</si>
  <si>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</si>
  <si>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</si>
  <si>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</si>
  <si>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</si>
  <si>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</si>
  <si>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</si>
  <si>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</si>
  <si>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</si>
  <si>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</si>
  <si>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</si>
  <si>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</si>
  <si>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</si>
  <si>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</si>
  <si>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</si>
  <si>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</si>
  <si>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</si>
  <si>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</si>
  <si>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</si>
  <si>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</si>
  <si>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</si>
  <si>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</si>
  <si>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</si>
  <si>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</si>
  <si>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</si>
  <si>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</si>
  <si>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</si>
  <si>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</si>
  <si>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</si>
  <si>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</si>
  <si>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</si>
  <si>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</si>
  <si>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</si>
  <si>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</si>
  <si>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</si>
  <si>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</si>
  <si>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</si>
  <si>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</si>
  <si>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</si>
  <si>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</si>
  <si>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</si>
  <si>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</si>
  <si>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</si>
  <si>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</si>
  <si>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</si>
  <si>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</si>
  <si>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</si>
  <si>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</si>
  <si>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</si>
  <si>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</si>
  <si>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</si>
  <si>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</si>
  <si>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</si>
  <si>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</si>
  <si>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</si>
  <si>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</si>
  <si>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</si>
  <si>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</si>
  <si>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</si>
  <si>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</si>
  <si>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</si>
  <si>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</si>
  <si>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</si>
  <si>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</si>
  <si>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</si>
  <si>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</si>
  <si>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</si>
  <si>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</si>
  <si>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</si>
  <si>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</si>
  <si>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</si>
  <si>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</si>
  <si>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</si>
  <si>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</si>
  <si>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</si>
  <si>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</si>
  <si>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</si>
  <si>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</si>
  <si>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</si>
  <si>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</si>
  <si>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</si>
  <si>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</si>
  <si>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</si>
  <si>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</si>
  <si>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</si>
  <si>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</si>
  <si>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</si>
  <si>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</si>
  <si>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</si>
  <si>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</si>
  <si>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</si>
  <si>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</si>
  <si>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</si>
  <si>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</si>
  <si>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</si>
  <si>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</si>
  <si>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</si>
  <si>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</si>
  <si>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</si>
  <si>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</si>
  <si>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</si>
  <si>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</si>
  <si>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</si>
  <si>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</si>
  <si>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</si>
  <si>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</si>
  <si>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</si>
  <si>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</si>
  <si>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</si>
  <si>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</si>
  <si>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</si>
  <si>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</si>
  <si>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</si>
  <si>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</si>
  <si>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</si>
  <si>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</si>
  <si>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</si>
  <si>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</si>
  <si>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</si>
  <si>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</si>
  <si>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</si>
  <si>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</si>
  <si>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</si>
  <si>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</si>
  <si>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</si>
  <si>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</si>
  <si>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</si>
  <si>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</si>
  <si>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</si>
  <si>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</si>
  <si>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</si>
  <si>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</si>
  <si>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</si>
  <si>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</si>
  <si>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</si>
  <si>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</si>
  <si>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</si>
  <si>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</si>
  <si>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</si>
  <si>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</si>
  <si>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</si>
  <si>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</si>
  <si>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</si>
  <si>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</si>
  <si>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</si>
  <si>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</si>
  <si>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</si>
  <si>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</si>
  <si>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</si>
  <si>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</si>
  <si>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</si>
  <si>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</si>
  <si>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</si>
  <si>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</si>
  <si>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</si>
  <si>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</si>
  <si>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</si>
  <si>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</si>
  <si>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</si>
  <si>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</si>
  <si>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</si>
  <si>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</si>
  <si>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</si>
  <si>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</si>
  <si>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</si>
  <si>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</si>
  <si>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</si>
  <si>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</si>
  <si>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</si>
  <si>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</si>
  <si>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</si>
  <si>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</si>
  <si>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</si>
  <si>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</si>
  <si>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</si>
  <si>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</si>
  <si>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</si>
  <si>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</si>
  <si>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</si>
  <si>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</si>
  <si>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</si>
  <si>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</si>
  <si>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</si>
  <si>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</si>
  <si>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</si>
  <si>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</si>
  <si>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</si>
  <si>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</si>
  <si>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</si>
  <si>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</si>
  <si>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</si>
  <si>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</si>
  <si>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</si>
  <si>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</si>
  <si>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</si>
  <si>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</si>
  <si>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</si>
  <si>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</si>
  <si>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</si>
  <si>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</si>
  <si>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</si>
  <si>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</si>
  <si>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</si>
  <si>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</si>
  <si>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</si>
  <si>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</si>
  <si>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</si>
  <si>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</si>
  <si>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</si>
  <si>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</si>
  <si>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</si>
  <si>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</si>
  <si>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</si>
  <si>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</si>
  <si>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</si>
  <si>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</si>
  <si>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</si>
  <si>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</si>
  <si>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</si>
  <si>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</si>
  <si>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</si>
  <si>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</si>
  <si>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</si>
  <si>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</si>
  <si>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</si>
  <si>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</si>
  <si>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</si>
  <si>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</si>
  <si>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</si>
  <si>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</si>
  <si>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</si>
  <si>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</si>
  <si>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</si>
  <si>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</si>
  <si>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</si>
  <si>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</si>
  <si>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</si>
  <si>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</si>
  <si>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</si>
  <si>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</si>
  <si>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</si>
  <si>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</si>
  <si>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</si>
  <si>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</si>
  <si>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</si>
  <si>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</si>
  <si>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</si>
  <si>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</si>
  <si>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</si>
  <si>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</si>
  <si>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</si>
  <si>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</si>
  <si>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</si>
  <si>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</si>
  <si>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</si>
  <si>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</si>
  <si>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</si>
  <si>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</si>
  <si>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</si>
  <si>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</si>
  <si>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</si>
  <si>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</si>
  <si>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</si>
  <si>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</si>
  <si>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</si>
  <si>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</si>
  <si>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</si>
  <si>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</si>
  <si>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</si>
  <si>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</si>
  <si>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</si>
  <si>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</si>
  <si>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</si>
  <si>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</si>
  <si>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</si>
  <si>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</si>
  <si>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</si>
  <si>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</si>
  <si>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</si>
  <si>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</si>
  <si>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</si>
  <si>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</si>
  <si>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</si>
  <si>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</si>
  <si>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</si>
  <si>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</si>
  <si>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</si>
  <si>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</si>
  <si>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</si>
  <si>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</si>
  <si>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</si>
  <si>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</si>
  <si>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</si>
  <si>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</si>
  <si>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</si>
  <si>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</si>
  <si>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</si>
  <si>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</si>
  <si>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</si>
  <si>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</si>
  <si>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</si>
  <si>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</si>
  <si>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</si>
  <si>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</si>
  <si>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</si>
  <si>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</si>
  <si>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</si>
  <si>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</si>
  <si>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</si>
  <si>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</si>
  <si>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</si>
  <si>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</si>
  <si>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</si>
  <si>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</si>
  <si>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</si>
  <si>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</si>
  <si>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</si>
  <si>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</si>
  <si>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</si>
  <si>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</si>
  <si>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</si>
  <si>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</si>
  <si>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</si>
  <si>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</si>
  <si>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</si>
  <si>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</si>
  <si>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</si>
  <si>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</si>
  <si>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</si>
  <si>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</si>
  <si>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</si>
  <si>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</si>
  <si>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</si>
  <si>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</si>
  <si>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</si>
  <si>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</si>
  <si>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</si>
  <si>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</si>
  <si>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</si>
  <si>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</si>
  <si>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</si>
  <si>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</si>
  <si>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</si>
  <si>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</si>
  <si>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</si>
  <si>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</si>
  <si>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</si>
  <si>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</si>
  <si>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</si>
  <si>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</si>
  <si>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</si>
  <si>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</si>
  <si>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</si>
  <si>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</si>
  <si>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</si>
  <si>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</si>
  <si>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</si>
  <si>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</si>
  <si>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</si>
  <si>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</si>
  <si>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</si>
  <si>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</si>
  <si>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</si>
  <si>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</si>
  <si>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</si>
  <si>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</si>
  <si>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</si>
  <si>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</si>
  <si>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</si>
  <si>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</si>
  <si>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</si>
  <si>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</si>
  <si>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</si>
  <si>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</si>
  <si>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</si>
  <si>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</si>
  <si>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</si>
  <si>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</si>
  <si>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</si>
  <si>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</si>
  <si>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</si>
  <si>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</si>
  <si>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</si>
  <si>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</si>
  <si>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</si>
  <si>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</si>
  <si>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</si>
  <si>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</si>
  <si>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</si>
  <si>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</si>
  <si>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</si>
  <si>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</si>
  <si>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</si>
  <si>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</si>
  <si>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</si>
  <si>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</si>
  <si>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</si>
  <si>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</si>
  <si>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</si>
  <si>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</si>
  <si>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</si>
  <si>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</si>
  <si>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</si>
  <si>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</si>
  <si>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</si>
  <si>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</si>
  <si>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</si>
  <si>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</si>
  <si>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</si>
  <si>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</si>
  <si>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</si>
  <si>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</si>
  <si>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</si>
  <si>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</si>
  <si>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</si>
  <si>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</si>
  <si>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</si>
  <si>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</si>
  <si>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</si>
  <si>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</si>
  <si>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</si>
  <si>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</si>
  <si>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</si>
  <si>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</si>
  <si>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</si>
  <si>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</si>
  <si>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</si>
  <si>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</si>
  <si>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</si>
  <si>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</si>
  <si>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</si>
  <si>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</si>
  <si>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</si>
  <si>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</si>
  <si>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</si>
  <si>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</si>
  <si>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</si>
  <si>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</si>
  <si>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</si>
  <si>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</si>
  <si>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</si>
  <si>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</si>
  <si>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</si>
  <si>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</si>
  <si>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</si>
  <si>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</si>
  <si>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</si>
  <si>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</si>
  <si>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</si>
  <si>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</si>
  <si>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</si>
  <si>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</si>
  <si>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</si>
  <si>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</si>
  <si>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</si>
  <si>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</si>
  <si>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</si>
  <si>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</si>
  <si>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</si>
  <si>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</si>
  <si>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</si>
  <si>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</si>
  <si>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</si>
  <si>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</si>
  <si>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</si>
  <si>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</si>
  <si>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</si>
  <si>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</si>
  <si>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</si>
  <si>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</si>
  <si>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</si>
  <si>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</si>
  <si>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</si>
  <si>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</si>
  <si>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</si>
  <si>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</si>
  <si>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</si>
  <si>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</si>
  <si>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</si>
  <si>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</si>
  <si>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</si>
  <si>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</si>
  <si>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</si>
  <si>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</si>
  <si>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</si>
  <si>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</si>
  <si>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</si>
  <si>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</si>
  <si>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</si>
  <si>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</si>
  <si>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</si>
  <si>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</si>
  <si>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</si>
  <si>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</si>
  <si>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</si>
  <si>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</si>
  <si>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</si>
  <si>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</si>
  <si>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</si>
  <si>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</si>
  <si>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</si>
  <si>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</si>
  <si>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</si>
  <si>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</si>
  <si>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</si>
  <si>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</si>
  <si>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</si>
  <si>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</si>
  <si>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</si>
  <si>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</si>
  <si>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</si>
  <si>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</si>
  <si>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</si>
  <si>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</si>
  <si>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</si>
  <si>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</si>
  <si>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</si>
  <si>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</si>
  <si>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</si>
  <si>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</si>
  <si>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</si>
  <si>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</si>
  <si>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</si>
  <si>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</si>
  <si>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</si>
  <si>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</si>
  <si>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</si>
  <si>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</si>
  <si>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</si>
  <si>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</si>
  <si>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</si>
  <si>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</si>
  <si>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</si>
  <si>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</si>
  <si>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</si>
  <si>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</si>
  <si>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</si>
  <si>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</si>
  <si>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</si>
  <si>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</si>
  <si>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</si>
  <si>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</si>
  <si>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</si>
  <si>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</si>
  <si>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</si>
  <si>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</si>
  <si>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</si>
  <si>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</si>
  <si>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</si>
  <si>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</si>
  <si>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</si>
  <si>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</si>
  <si>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</si>
  <si>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</si>
  <si>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</si>
  <si>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</si>
  <si>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</si>
  <si>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</si>
  <si>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</si>
  <si>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</si>
  <si>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</si>
  <si>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</si>
  <si>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</si>
  <si>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</si>
  <si>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</si>
  <si>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</si>
  <si>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</si>
  <si>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</si>
  <si>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</si>
  <si>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</si>
  <si>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</si>
  <si>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</si>
  <si>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</si>
  <si>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</si>
  <si>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</si>
  <si>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</si>
  <si>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</si>
  <si>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</si>
  <si>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</si>
  <si>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</si>
  <si>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</si>
  <si>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</si>
  <si>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</si>
  <si>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</si>
  <si>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</si>
  <si>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</si>
  <si>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</si>
  <si>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</si>
  <si>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</si>
  <si>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</si>
  <si>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</si>
  <si>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</si>
  <si>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</si>
  <si>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</si>
  <si>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</si>
  <si>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</si>
  <si>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</si>
  <si>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</si>
  <si>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</si>
  <si>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</si>
  <si>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</si>
  <si>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</si>
  <si>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</si>
  <si>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</si>
  <si>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</si>
  <si>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</si>
  <si>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</si>
  <si>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</si>
  <si>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</si>
  <si>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</si>
  <si>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</si>
  <si>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</si>
  <si>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</si>
  <si>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</si>
  <si>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</si>
  <si>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</si>
  <si>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</si>
  <si>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</si>
  <si>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</si>
  <si>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</si>
  <si>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</si>
  <si>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</si>
  <si>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</si>
  <si>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</si>
  <si>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</si>
  <si>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</si>
  <si>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</si>
  <si>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</si>
  <si>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</si>
  <si>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</si>
  <si>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</si>
  <si>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</si>
  <si>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</si>
  <si>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</si>
  <si>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</si>
  <si>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</si>
  <si>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</si>
  <si>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</si>
  <si>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</si>
  <si>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</si>
  <si>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</si>
  <si>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</si>
  <si>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</si>
  <si>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</si>
  <si>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</si>
  <si>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</si>
  <si>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</si>
  <si>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</si>
  <si>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</si>
  <si>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</si>
  <si>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</si>
  <si>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</si>
  <si>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</si>
  <si>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</si>
  <si>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</si>
  <si>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</si>
  <si>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</si>
  <si>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</si>
  <si>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</si>
  <si>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</si>
  <si>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</si>
  <si>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</si>
  <si>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</si>
  <si>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</si>
  <si>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</si>
  <si>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</si>
  <si>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</si>
  <si>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</si>
  <si>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</si>
  <si>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</si>
  <si>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</si>
  <si>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</si>
  <si>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</si>
  <si>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</si>
  <si>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</si>
  <si>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</si>
  <si>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</si>
  <si>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</si>
  <si>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</si>
  <si>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</si>
  <si>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</si>
  <si>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</si>
  <si>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</si>
  <si>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</si>
  <si>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</si>
  <si>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</si>
  <si>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</si>
  <si>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</si>
  <si>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</si>
  <si>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</si>
  <si>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</si>
  <si>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</si>
  <si>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</si>
  <si>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</si>
  <si>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</si>
  <si>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</si>
  <si>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</si>
  <si>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</si>
  <si>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</si>
  <si>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</si>
  <si>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</si>
  <si>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</si>
  <si>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</si>
  <si>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</si>
  <si>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</si>
  <si>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</si>
  <si>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</si>
  <si>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</si>
  <si>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</si>
  <si>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</si>
  <si>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</si>
  <si>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</si>
  <si>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</si>
  <si>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</si>
  <si>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</si>
  <si>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</si>
  <si>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</si>
  <si>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</si>
  <si>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</si>
  <si>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</si>
  <si>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</si>
  <si>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</si>
  <si>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</si>
  <si>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</si>
  <si>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</si>
  <si>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</si>
  <si>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</si>
  <si>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</si>
  <si>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</si>
  <si>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</si>
  <si>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</si>
  <si>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</si>
  <si>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</si>
  <si>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</si>
  <si>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</si>
  <si>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</si>
  <si>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</si>
  <si>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</si>
  <si>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</si>
  <si>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</si>
  <si>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</si>
  <si>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</si>
  <si>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</si>
  <si>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</si>
  <si>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</si>
  <si>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</si>
  <si>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</si>
  <si>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</si>
  <si>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</si>
  <si>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</si>
  <si>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</si>
  <si>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</si>
  <si>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</si>
  <si>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</si>
  <si>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</si>
  <si>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</si>
  <si>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</si>
  <si>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</si>
  <si>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</si>
  <si>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</si>
  <si>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</si>
  <si>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</si>
  <si>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</si>
  <si>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</si>
  <si>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</si>
  <si>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</si>
  <si>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</si>
  <si>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</si>
  <si>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</si>
  <si>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</si>
  <si>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</si>
  <si>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</si>
  <si>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</si>
  <si>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</si>
  <si>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</si>
  <si>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</si>
  <si>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</si>
  <si>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</si>
  <si>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</si>
  <si>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</si>
  <si>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</si>
  <si>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</si>
  <si>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</si>
  <si>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</si>
  <si>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</si>
  <si>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</si>
  <si>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</si>
  <si>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</si>
  <si>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</si>
  <si>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</si>
  <si>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</si>
  <si>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</si>
  <si>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</si>
  <si>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</si>
  <si>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</si>
  <si>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</si>
  <si>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</si>
  <si>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</si>
  <si>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</si>
  <si>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</si>
  <si>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</si>
  <si>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</si>
  <si>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</si>
  <si>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</si>
  <si>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</si>
  <si>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</si>
  <si>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</si>
  <si>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</si>
  <si>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</si>
  <si>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</si>
  <si>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</si>
  <si>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</si>
  <si>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</si>
  <si>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</si>
  <si>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</si>
  <si>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</si>
  <si>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</si>
  <si>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</si>
  <si>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</si>
  <si>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</si>
  <si>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</si>
  <si>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</si>
  <si>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</si>
  <si>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</si>
  <si>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</si>
  <si>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</si>
  <si>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</si>
  <si>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</si>
  <si>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</si>
  <si>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</si>
  <si>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</si>
  <si>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</si>
  <si>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</si>
  <si>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</si>
  <si>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</si>
  <si>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</si>
  <si>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</si>
  <si>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</si>
  <si>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</si>
  <si>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</si>
  <si>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</si>
  <si>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</si>
  <si>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</si>
  <si>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</si>
  <si>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</si>
  <si>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</si>
  <si>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</si>
  <si>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</si>
  <si>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</si>
  <si>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</si>
  <si>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</si>
  <si>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</si>
  <si>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</si>
  <si>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</si>
  <si>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</si>
  <si>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</si>
  <si>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</si>
  <si>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</si>
  <si>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</si>
  <si>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</si>
  <si>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</si>
  <si>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</si>
  <si>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</si>
  <si>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</si>
  <si>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</si>
  <si>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</si>
  <si>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</si>
  <si>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</si>
  <si>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</si>
  <si>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</si>
  <si>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</si>
  <si>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</si>
  <si>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</si>
  <si>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</si>
  <si>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</si>
  <si>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</si>
  <si>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</si>
  <si>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</si>
  <si>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</si>
  <si>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</si>
  <si>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</si>
  <si>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</si>
  <si>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</si>
  <si>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</si>
  <si>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</si>
  <si>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</si>
  <si>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</si>
  <si>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</si>
  <si>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</si>
  <si>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</si>
  <si>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</si>
  <si>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</si>
  <si>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</si>
  <si>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</si>
  <si>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</si>
  <si>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</si>
  <si>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</si>
  <si>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</si>
  <si>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</si>
  <si>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</si>
  <si>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</si>
  <si>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</si>
  <si>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</si>
  <si>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</si>
  <si>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</si>
  <si>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</si>
  <si>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</si>
  <si>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</si>
  <si>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</si>
  <si>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</si>
  <si>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</si>
  <si>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</si>
  <si>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</si>
  <si>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</si>
  <si>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</si>
  <si>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</si>
  <si>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</si>
  <si>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</si>
  <si>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</si>
  <si>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</si>
  <si>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</si>
  <si>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</si>
  <si>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</si>
  <si>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</si>
  <si>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</si>
  <si>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</si>
  <si>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</si>
  <si>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</si>
  <si>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</si>
  <si>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</si>
  <si>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</si>
  <si>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</si>
  <si>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</si>
  <si>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</si>
  <si>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</si>
  <si>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</si>
  <si>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</si>
  <si>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</si>
  <si>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</si>
  <si>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</si>
  <si>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</si>
  <si>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</si>
  <si>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</si>
  <si>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</si>
  <si>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</si>
  <si>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</si>
  <si>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</si>
  <si>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</si>
  <si>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</si>
  <si>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</si>
  <si>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</si>
  <si>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</si>
  <si>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</si>
  <si>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</si>
  <si>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</si>
  <si>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</si>
  <si>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</si>
  <si>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</si>
  <si>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</si>
  <si>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</si>
  <si>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</si>
  <si>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</si>
  <si>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</si>
  <si>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</si>
  <si>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</si>
  <si>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</si>
  <si>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</si>
  <si>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</si>
  <si>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</si>
  <si>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</si>
  <si>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</si>
  <si>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</si>
  <si>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</si>
  <si>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</si>
  <si>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</si>
  <si>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</si>
  <si>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</si>
  <si>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</si>
  <si>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</si>
  <si>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</si>
  <si>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</si>
  <si>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</si>
  <si>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</si>
  <si>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</si>
  <si>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</si>
  <si>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</si>
  <si>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</si>
  <si>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</si>
  <si>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</si>
  <si>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</si>
  <si>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</si>
  <si>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</si>
  <si>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</si>
  <si>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</si>
  <si>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</si>
  <si>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</si>
  <si>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</si>
  <si>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</si>
  <si>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</si>
  <si>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</si>
  <si>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</si>
  <si>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</si>
  <si>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</si>
  <si>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</si>
  <si>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</si>
  <si>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</si>
  <si>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</si>
  <si>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</si>
  <si>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</si>
  <si>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</si>
  <si>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</si>
  <si>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</si>
  <si>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</si>
  <si>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</si>
  <si>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</si>
  <si>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</si>
  <si>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</si>
  <si>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</si>
  <si>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</si>
  <si>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</si>
  <si>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</si>
  <si>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</si>
  <si>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</si>
  <si>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</si>
  <si>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</si>
  <si>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</si>
  <si>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</si>
  <si>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</si>
  <si>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</si>
  <si>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</si>
  <si>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</si>
  <si>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</si>
  <si>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</si>
  <si>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</si>
  <si>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</si>
  <si>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</si>
  <si>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</si>
  <si>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</si>
  <si>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</si>
  <si>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</si>
  <si>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</si>
  <si>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</si>
  <si>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</si>
  <si>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</si>
  <si>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</si>
  <si>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</si>
  <si>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</si>
  <si>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</si>
  <si>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</si>
  <si>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</si>
  <si>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</si>
  <si>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</si>
  <si>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</si>
  <si>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</si>
  <si>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</si>
  <si>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</si>
  <si>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</si>
  <si>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</si>
  <si>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</si>
  <si>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</si>
  <si>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</si>
  <si>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</si>
  <si>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</si>
  <si>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</si>
  <si>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</si>
  <si>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</si>
  <si>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</si>
  <si>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</si>
  <si>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</si>
  <si>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</si>
  <si>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</si>
  <si>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</si>
  <si>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</si>
  <si>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</si>
  <si>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</si>
  <si>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</si>
  <si>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</si>
  <si>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</si>
  <si>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</si>
  <si>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</si>
  <si>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</si>
  <si>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</si>
  <si>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</si>
  <si>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</si>
  <si>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</si>
  <si>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</si>
  <si>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</si>
  <si>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</si>
  <si>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</si>
  <si>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</si>
  <si>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</si>
  <si>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</si>
  <si>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</si>
  <si>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</si>
  <si>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</si>
  <si>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</si>
  <si>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</si>
  <si>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</si>
  <si>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</si>
  <si>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</si>
  <si>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</si>
  <si>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</si>
  <si>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</si>
  <si>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</si>
  <si>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</si>
  <si>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</si>
  <si>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</si>
  <si>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</si>
  <si>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</si>
  <si>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</si>
  <si>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</si>
  <si>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</si>
  <si>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</si>
  <si>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</si>
  <si>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</si>
  <si>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</si>
  <si>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</si>
  <si>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</si>
  <si>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</si>
  <si>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</si>
  <si>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</si>
  <si>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</si>
  <si>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</si>
  <si>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</si>
  <si>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</si>
  <si>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</si>
  <si>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</si>
  <si>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</si>
  <si>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</si>
  <si>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</si>
  <si>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</si>
  <si>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</si>
  <si>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</si>
  <si>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</si>
  <si>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</si>
  <si>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</si>
  <si>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</si>
  <si>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</si>
  <si>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</si>
  <si>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</si>
  <si>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</si>
  <si>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</si>
  <si>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</si>
  <si>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</si>
  <si>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</si>
  <si>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</si>
  <si>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</si>
  <si>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</si>
  <si>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</si>
  <si>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</si>
  <si>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</si>
  <si>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</si>
  <si>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</si>
  <si>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</si>
  <si>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</si>
  <si>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</si>
  <si>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</si>
  <si>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</si>
  <si>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</si>
  <si>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</si>
  <si>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</si>
  <si>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</si>
  <si>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</si>
  <si>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</si>
  <si>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</si>
  <si>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</si>
  <si>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</si>
  <si>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</si>
  <si>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</si>
  <si>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</si>
  <si>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</si>
  <si>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</si>
  <si>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</si>
  <si>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</si>
  <si>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</si>
  <si>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</si>
  <si>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</si>
  <si>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</si>
  <si>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</si>
  <si>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</si>
  <si>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</si>
  <si>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</si>
  <si>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</si>
  <si>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</si>
  <si>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</si>
  <si>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</si>
  <si>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</si>
  <si>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</si>
  <si>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</si>
  <si>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</si>
  <si>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</si>
  <si>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</si>
  <si>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</si>
  <si>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</si>
  <si>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</si>
  <si>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</si>
  <si>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</si>
  <si>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</si>
  <si>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</si>
  <si>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</si>
  <si>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</si>
  <si>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</si>
  <si>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</si>
  <si>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</si>
  <si>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</si>
  <si>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</si>
  <si>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</si>
  <si>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</si>
  <si>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</si>
  <si>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</si>
  <si>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</si>
  <si>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</si>
  <si>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</si>
  <si>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</si>
  <si>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</si>
  <si>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</si>
  <si>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</si>
  <si>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</si>
  <si>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</si>
  <si>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</si>
  <si>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</si>
  <si>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</si>
  <si>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</si>
  <si>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</si>
  <si>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</si>
  <si>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</si>
  <si>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</si>
  <si>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</si>
  <si>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</si>
  <si>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</si>
  <si>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</si>
  <si>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</si>
  <si>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</si>
  <si>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</si>
  <si>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</si>
  <si>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</si>
  <si>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</si>
  <si>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</si>
  <si>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</si>
  <si>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</si>
  <si>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</si>
  <si>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</si>
  <si>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</si>
  <si>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</si>
  <si>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</si>
  <si>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</si>
  <si>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</si>
  <si>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</si>
  <si>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</si>
  <si>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</si>
  <si>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</si>
  <si>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</si>
  <si>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</si>
  <si>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</si>
  <si>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</si>
  <si>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</si>
  <si>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</si>
  <si>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</si>
  <si>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</si>
  <si>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</si>
  <si>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</si>
  <si>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</si>
  <si>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</si>
  <si>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</si>
  <si>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</si>
  <si>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</si>
  <si>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</si>
  <si>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</si>
  <si>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</si>
  <si>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</si>
  <si>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</si>
  <si>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</si>
  <si>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</si>
  <si>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</si>
  <si>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</si>
  <si>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</si>
  <si>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</si>
  <si>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</si>
  <si>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</si>
  <si>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</si>
  <si>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</si>
  <si>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</si>
  <si>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</si>
  <si>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</si>
  <si>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</si>
  <si>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</si>
  <si>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</si>
  <si>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</si>
  <si>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</si>
  <si>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</si>
  <si>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</si>
  <si>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</si>
  <si>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</si>
  <si>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</si>
  <si>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</si>
  <si>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</si>
  <si>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</si>
  <si>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</si>
  <si>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</si>
  <si>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</si>
  <si>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</si>
  <si>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</si>
  <si>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</si>
  <si>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</si>
  <si>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</si>
  <si>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</si>
  <si>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</si>
  <si>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</si>
  <si>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</si>
  <si>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</si>
  <si>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</si>
  <si>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</si>
  <si>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</si>
  <si>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</si>
  <si>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</si>
  <si>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</si>
  <si>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</si>
  <si>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</si>
  <si>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</si>
  <si>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</si>
  <si>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</si>
  <si>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</si>
  <si>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</si>
  <si>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</si>
  <si>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</si>
  <si>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</si>
  <si>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</si>
  <si>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</si>
  <si>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</si>
  <si>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</si>
  <si>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</si>
  <si>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</si>
  <si>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</si>
  <si>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</si>
  <si>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</si>
  <si>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</si>
  <si>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</si>
  <si>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</si>
  <si>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</si>
  <si>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</si>
  <si>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</si>
  <si>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</si>
  <si>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</si>
  <si>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</si>
  <si>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</si>
  <si>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</si>
  <si>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</si>
  <si>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</si>
  <si>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</si>
  <si>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</si>
  <si>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</si>
  <si>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</si>
  <si>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</si>
  <si>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</si>
  <si>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</si>
  <si>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</si>
  <si>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</si>
  <si>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</si>
  <si>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</si>
  <si>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</si>
  <si>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</si>
  <si>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</si>
  <si>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</si>
  <si>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</si>
  <si>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</si>
  <si>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</si>
  <si>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</si>
  <si>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</si>
  <si>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</si>
  <si>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</si>
  <si>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</si>
  <si>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</si>
  <si>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</si>
  <si>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</si>
  <si>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</si>
  <si>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</si>
  <si>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</si>
  <si>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</si>
  <si>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</si>
  <si>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</si>
  <si>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</si>
  <si>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</si>
  <si>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</si>
  <si>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</si>
  <si>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</si>
  <si>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</si>
  <si>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</si>
  <si>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</si>
  <si>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</si>
  <si>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</si>
  <si>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</si>
  <si>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</si>
  <si>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</si>
  <si>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</si>
  <si>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</si>
  <si>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</si>
  <si>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</si>
  <si>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</si>
  <si>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</si>
  <si>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</si>
  <si>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</si>
  <si>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</si>
  <si>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</si>
  <si>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</si>
  <si>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</si>
  <si>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</si>
  <si>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</si>
  <si>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</si>
  <si>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</si>
  <si>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</si>
  <si>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</si>
  <si>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</si>
  <si>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</si>
  <si>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</si>
  <si>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</si>
  <si>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</si>
  <si>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</si>
  <si>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</si>
  <si>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</si>
  <si>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</si>
  <si>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</si>
  <si>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</si>
  <si>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</si>
  <si>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</si>
  <si>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</si>
  <si>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</si>
  <si>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</si>
  <si>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</si>
  <si>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</si>
  <si>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</si>
  <si>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</si>
  <si>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</si>
  <si>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</si>
  <si>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</si>
  <si>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</si>
  <si>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</si>
  <si>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</si>
  <si>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</si>
  <si>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</si>
  <si>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</si>
  <si>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</si>
  <si>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</si>
  <si>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</si>
  <si>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</si>
  <si>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</si>
  <si>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</si>
  <si>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</si>
  <si>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</si>
  <si>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</si>
  <si>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</si>
  <si>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</si>
  <si>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</si>
  <si>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</si>
  <si>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</si>
  <si>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</si>
  <si>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</si>
  <si>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</si>
  <si>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</si>
  <si>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</si>
  <si>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</si>
  <si>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</si>
  <si>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</si>
  <si>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</si>
  <si>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</si>
  <si>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</si>
  <si>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</si>
  <si>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</si>
  <si>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</si>
  <si>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</si>
  <si>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</si>
  <si>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</si>
  <si>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</si>
  <si>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</si>
  <si>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</si>
  <si>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</si>
  <si>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</si>
  <si>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</si>
  <si>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</si>
  <si>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</si>
  <si>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</si>
  <si>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</si>
  <si>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</si>
  <si>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</si>
  <si>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</si>
  <si>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</si>
  <si>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</si>
  <si>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</si>
  <si>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</si>
  <si>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</si>
  <si>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</si>
  <si>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</si>
  <si>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</si>
  <si>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</si>
  <si>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</si>
  <si>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</si>
  <si>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</si>
  <si>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</si>
  <si>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</si>
  <si>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</si>
  <si>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</si>
  <si>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</si>
  <si>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</si>
  <si>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</si>
  <si>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</si>
  <si>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</si>
  <si>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</si>
  <si>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</si>
  <si>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</si>
  <si>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</si>
  <si>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</si>
  <si>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</si>
  <si>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</si>
  <si>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</si>
  <si>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</si>
  <si>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</si>
  <si>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</si>
  <si>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</si>
  <si>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</si>
  <si>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</si>
  <si>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</si>
  <si>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</si>
  <si>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</si>
  <si>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</si>
  <si>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</si>
  <si>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</si>
  <si>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</si>
  <si>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</si>
  <si>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</si>
  <si>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</si>
  <si>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</si>
  <si>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</si>
  <si>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</si>
  <si>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</si>
  <si>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</si>
  <si>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</si>
  <si>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</si>
  <si>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</si>
  <si>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</si>
  <si>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</si>
  <si>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</si>
  <si>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</si>
  <si>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</si>
  <si>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</si>
  <si>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</si>
  <si>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</si>
  <si>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</si>
  <si>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</si>
  <si>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</si>
  <si>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</si>
  <si>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</si>
  <si>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</si>
  <si>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</si>
  <si>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</si>
  <si>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</si>
  <si>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</si>
  <si>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</si>
  <si>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</si>
  <si>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</si>
  <si>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</si>
  <si>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</si>
  <si>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</si>
  <si>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</si>
  <si>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</si>
  <si>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</si>
  <si>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</si>
  <si>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</si>
  <si>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</si>
  <si>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</si>
  <si>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</si>
  <si>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</si>
  <si>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</si>
  <si>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</si>
  <si>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</si>
  <si>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</si>
  <si>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</si>
  <si>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</si>
  <si>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</si>
  <si>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</si>
  <si>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</si>
  <si>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</si>
  <si>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</si>
  <si>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</si>
  <si>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</si>
  <si>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</si>
  <si>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</si>
  <si>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</si>
  <si>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</si>
  <si>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</si>
  <si>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</si>
  <si>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</si>
  <si>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</si>
  <si>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</si>
  <si>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</si>
  <si>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</si>
  <si>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</si>
  <si>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</si>
  <si>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</si>
  <si>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</si>
  <si>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</si>
  <si>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</si>
  <si>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</si>
  <si>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</si>
  <si>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</si>
  <si>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</si>
  <si>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</si>
  <si>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</si>
  <si>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</si>
  <si>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</si>
  <si>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</si>
  <si>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</si>
  <si>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</si>
  <si>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</si>
  <si>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</si>
  <si>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</si>
  <si>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</si>
  <si>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</si>
  <si>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</si>
  <si>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</si>
  <si>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</si>
  <si>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</si>
  <si>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</si>
  <si>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</si>
  <si>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</si>
  <si>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</si>
  <si>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</si>
  <si>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</si>
  <si>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</si>
  <si>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</si>
  <si>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</si>
  <si>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</si>
  <si>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</si>
  <si>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</si>
  <si>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</si>
  <si>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</si>
  <si>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</si>
  <si>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</si>
  <si>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</si>
  <si>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</si>
  <si>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</si>
  <si>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</si>
  <si>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</si>
  <si>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</si>
  <si>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</si>
  <si>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</si>
  <si>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</si>
  <si>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</si>
  <si>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</si>
  <si>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</si>
  <si>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</si>
  <si>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</si>
  <si>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</si>
  <si>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</si>
  <si>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</si>
  <si>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</si>
  <si>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</si>
  <si>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</si>
  <si>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</si>
  <si>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</si>
  <si>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</si>
  <si>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</si>
  <si>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</si>
  <si>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</si>
  <si>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</si>
  <si>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</si>
  <si>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</si>
  <si>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</si>
  <si>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</si>
  <si>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</si>
  <si>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</si>
  <si>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</si>
  <si>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</si>
  <si>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</si>
  <si>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</si>
  <si>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</si>
  <si>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</si>
  <si>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</si>
  <si>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</si>
  <si>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</si>
  <si>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</si>
  <si>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</si>
  <si>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</si>
  <si>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</si>
  <si>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</si>
  <si>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</si>
  <si>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</si>
  <si>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</si>
  <si>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</si>
  <si>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</si>
  <si>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</si>
  <si>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</si>
  <si>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</si>
  <si>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 xml:space="preserve">Cirocomm Technology Corp.     </t>
    <phoneticPr fontId="97" type="noConversion"/>
  </si>
  <si>
    <r>
      <t>DESIGN AND MANUFACTURE OF GPS ANTENNA</t>
    </r>
    <r>
      <rPr>
        <sz val="12"/>
        <rFont val="細明體"/>
        <family val="3"/>
        <charset val="136"/>
      </rPr>
      <t>、</t>
    </r>
    <r>
      <rPr>
        <sz val="12"/>
        <rFont val="Cambria"/>
        <family val="1"/>
      </rPr>
      <t>FILTER AND MODULE</t>
    </r>
    <phoneticPr fontId="97" type="noConversion"/>
  </si>
  <si>
    <t xml:space="preserve">No.37, Gongye S. Rd., Guantian Dist., Tainan City 72046, Taiwan </t>
  </si>
  <si>
    <t>poshiung.Hsu</t>
  </si>
  <si>
    <t>poshiung.Hsu@cirocomm.com.tw</t>
  </si>
  <si>
    <t>886-6-6992961#514</t>
  </si>
  <si>
    <t xml:space="preserve">kevin kuo </t>
  </si>
  <si>
    <t>QA manager</t>
  </si>
  <si>
    <t>kevinkuo@cirocomm.com.tw</t>
  </si>
  <si>
    <t>886-6-6992961#511</t>
  </si>
  <si>
    <t>PT Timah (Persero) Tbk Kundur</t>
  </si>
  <si>
    <t>Abrun Abubakar</t>
  </si>
  <si>
    <t>corsec@pttimah.co.id</t>
  </si>
  <si>
    <t>paper documentation review check</t>
  </si>
  <si>
    <t>owened by  PT TIMAH Tbk</t>
  </si>
  <si>
    <t>Hong Kong</t>
  </si>
  <si>
    <t>30 On Chuen Street</t>
  </si>
  <si>
    <t>chakyeung.lung@heraeus.com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</si>
</sst>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99">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9"/>
      <name val="細明體"/>
      <family val="3"/>
      <charset val="136"/>
    </font>
    <font>
      <sz val="12"/>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8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80" fontId="0" fillId="33" borderId="13" xfId="0" applyNumberFormat="1" applyFont="1" applyFill="1" applyBorder="1" applyAlignment="1">
      <alignment vertical="top" wrapText="1"/>
    </xf>
    <xf numFmtId="180" fontId="0" fillId="33" borderId="0" xfId="0" applyNumberFormat="1" applyFont="1" applyFill="1" applyBorder="1" applyAlignment="1"/>
    <xf numFmtId="180" fontId="9" fillId="33" borderId="0" xfId="0" applyNumberFormat="1" applyFont="1" applyFill="1" applyBorder="1"/>
    <xf numFmtId="180" fontId="14" fillId="33" borderId="0" xfId="0" applyNumberFormat="1" applyFont="1" applyFill="1" applyBorder="1" applyAlignment="1">
      <alignment horizontal="center" vertical="center" wrapText="1"/>
    </xf>
    <xf numFmtId="180" fontId="11" fillId="33" borderId="0" xfId="0" applyNumberFormat="1" applyFont="1" applyFill="1" applyBorder="1" applyAlignment="1">
      <alignment horizontal="center" vertical="center"/>
    </xf>
    <xf numFmtId="180" fontId="0" fillId="33" borderId="0" xfId="0" applyNumberFormat="1" applyFont="1" applyFill="1" applyBorder="1"/>
    <xf numFmtId="180" fontId="27" fillId="33" borderId="20" xfId="570" applyNumberFormat="1" applyFont="1" applyFill="1" applyBorder="1" applyAlignment="1">
      <alignment horizontal="center" vertical="center" wrapText="1"/>
    </xf>
    <xf numFmtId="180" fontId="0" fillId="0" borderId="0" xfId="0" applyNumberFormat="1" applyFont="1" applyFill="1" applyBorder="1"/>
    <xf numFmtId="18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8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80" fontId="53" fillId="0" borderId="0" xfId="480" applyFont="1" applyFill="1" applyAlignment="1">
      <alignment horizontal="left" vertical="top" wrapText="1"/>
    </xf>
    <xf numFmtId="18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80"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80"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80" fontId="53" fillId="0" borderId="0" xfId="480" applyFont="1" applyFill="1" applyBorder="1" applyAlignment="1">
      <alignment vertical="top" wrapText="1"/>
    </xf>
    <xf numFmtId="0" fontId="94" fillId="0" borderId="0" xfId="0" applyFont="1"/>
    <xf numFmtId="180"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8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80" fontId="25" fillId="0" borderId="48" xfId="570" applyNumberFormat="1" applyFont="1" applyFill="1" applyBorder="1" applyAlignment="1">
      <alignment horizontal="center" vertical="top" wrapText="1"/>
    </xf>
    <xf numFmtId="180" fontId="25" fillId="0" borderId="49" xfId="570" applyNumberFormat="1" applyFont="1" applyFill="1" applyBorder="1" applyAlignment="1">
      <alignment horizontal="center" vertical="top" wrapText="1"/>
    </xf>
    <xf numFmtId="180"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112">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48"/>
      <c r="B2" s="38" t="s">
        <v>870</v>
      </c>
      <c r="C2" s="36"/>
      <c r="D2" s="208"/>
      <c r="E2" s="3"/>
      <c r="F2" s="36"/>
      <c r="G2" s="34"/>
    </row>
    <row r="3" spans="1:7">
      <c r="A3" s="348"/>
      <c r="B3" s="5" t="s">
        <v>862</v>
      </c>
      <c r="C3" s="6"/>
      <c r="D3" s="209"/>
      <c r="E3" s="3"/>
      <c r="F3" s="6"/>
      <c r="G3" s="34"/>
    </row>
    <row r="4" spans="1:7" ht="15.75">
      <c r="A4" s="348"/>
      <c r="B4" s="41" t="s">
        <v>872</v>
      </c>
      <c r="C4" s="7"/>
      <c r="D4" s="210"/>
      <c r="E4" s="3"/>
      <c r="F4" s="7"/>
      <c r="G4" s="34"/>
    </row>
    <row r="5" spans="1:7">
      <c r="A5" s="348"/>
      <c r="B5" s="40" t="s">
        <v>1063</v>
      </c>
      <c r="C5" s="4"/>
      <c r="D5" s="211"/>
      <c r="E5" s="3"/>
      <c r="F5" s="4"/>
      <c r="G5" s="34"/>
    </row>
    <row r="6" spans="1:7">
      <c r="A6" s="348"/>
      <c r="B6" s="8"/>
      <c r="C6" s="8"/>
      <c r="D6" s="212"/>
      <c r="E6" s="8"/>
      <c r="F6" s="8"/>
      <c r="G6" s="34"/>
    </row>
    <row r="7" spans="1:7">
      <c r="A7" s="348"/>
      <c r="B7" s="8"/>
      <c r="C7" s="8"/>
      <c r="D7" s="212"/>
      <c r="E7" s="8"/>
      <c r="F7" s="8"/>
      <c r="G7" s="34"/>
    </row>
    <row r="8" spans="1:7">
      <c r="A8" s="348"/>
      <c r="B8" s="8"/>
      <c r="C8" s="8"/>
      <c r="D8" s="212"/>
      <c r="E8" s="8"/>
      <c r="F8" s="8"/>
      <c r="G8" s="34"/>
    </row>
    <row r="9" spans="1:7">
      <c r="A9" s="348"/>
      <c r="B9" s="351" t="s">
        <v>873</v>
      </c>
      <c r="C9" s="351"/>
      <c r="D9" s="351"/>
      <c r="E9" s="351"/>
      <c r="F9" s="351"/>
      <c r="G9" s="34"/>
    </row>
    <row r="10" spans="1:7" ht="27" customHeight="1">
      <c r="A10" s="348"/>
      <c r="B10" s="352" t="s">
        <v>448</v>
      </c>
      <c r="C10" s="352"/>
      <c r="D10" s="352"/>
      <c r="E10" s="352"/>
      <c r="F10" s="352"/>
      <c r="G10" s="34"/>
    </row>
    <row r="11" spans="1:7" ht="27" customHeight="1">
      <c r="A11" s="348"/>
      <c r="B11" s="353"/>
      <c r="C11" s="353"/>
      <c r="D11" s="353"/>
      <c r="E11" s="353"/>
      <c r="F11" s="353"/>
      <c r="G11" s="34"/>
    </row>
    <row r="12" spans="1:7">
      <c r="A12" s="348"/>
      <c r="B12" s="42" t="s">
        <v>871</v>
      </c>
      <c r="C12" s="43" t="s">
        <v>874</v>
      </c>
      <c r="D12" s="213" t="s">
        <v>875</v>
      </c>
      <c r="E12" s="43" t="s">
        <v>628</v>
      </c>
      <c r="F12" s="43" t="s">
        <v>629</v>
      </c>
      <c r="G12" s="34"/>
    </row>
    <row r="13" spans="1:7" ht="33.75">
      <c r="A13" s="348"/>
      <c r="B13" s="2">
        <v>1</v>
      </c>
      <c r="C13" s="37" t="s">
        <v>1111</v>
      </c>
      <c r="D13" s="39" t="s">
        <v>899</v>
      </c>
      <c r="E13" s="196" t="s">
        <v>876</v>
      </c>
      <c r="F13" s="196"/>
      <c r="G13" s="34"/>
    </row>
    <row r="14" spans="1:7" ht="33.75">
      <c r="A14" s="348"/>
      <c r="B14" s="2">
        <v>2</v>
      </c>
      <c r="C14" s="37" t="s">
        <v>1111</v>
      </c>
      <c r="D14" s="39" t="s">
        <v>1048</v>
      </c>
      <c r="E14" s="196" t="s">
        <v>540</v>
      </c>
      <c r="F14" s="196" t="s">
        <v>541</v>
      </c>
      <c r="G14" s="34"/>
    </row>
    <row r="15" spans="1:7" ht="89.1" customHeight="1">
      <c r="A15" s="348"/>
      <c r="B15" s="354">
        <v>2.0099999999999998</v>
      </c>
      <c r="C15" s="357" t="s">
        <v>1111</v>
      </c>
      <c r="D15" s="360" t="s">
        <v>2358</v>
      </c>
      <c r="E15" s="197" t="s">
        <v>630</v>
      </c>
      <c r="F15" s="197" t="s">
        <v>633</v>
      </c>
      <c r="G15" s="34"/>
    </row>
    <row r="16" spans="1:7" ht="99" customHeight="1">
      <c r="A16" s="348"/>
      <c r="B16" s="355"/>
      <c r="C16" s="358"/>
      <c r="D16" s="361"/>
      <c r="E16" s="198"/>
      <c r="F16" s="198" t="s">
        <v>631</v>
      </c>
      <c r="G16" s="34"/>
    </row>
    <row r="17" spans="1:7" ht="63" customHeight="1">
      <c r="A17" s="348"/>
      <c r="B17" s="356"/>
      <c r="C17" s="359"/>
      <c r="D17" s="362"/>
      <c r="E17" s="37"/>
      <c r="F17" s="37" t="s">
        <v>632</v>
      </c>
      <c r="G17" s="34"/>
    </row>
    <row r="18" spans="1:7" ht="117" customHeight="1">
      <c r="A18" s="348"/>
      <c r="B18" s="354">
        <v>2.02</v>
      </c>
      <c r="C18" s="357" t="s">
        <v>1111</v>
      </c>
      <c r="D18" s="360" t="s">
        <v>2359</v>
      </c>
      <c r="E18" s="197" t="s">
        <v>449</v>
      </c>
      <c r="F18" s="197" t="s">
        <v>535</v>
      </c>
      <c r="G18" s="34"/>
    </row>
    <row r="19" spans="1:7" ht="71.099999999999994" customHeight="1">
      <c r="A19" s="348"/>
      <c r="B19" s="355"/>
      <c r="C19" s="358"/>
      <c r="D19" s="361"/>
      <c r="E19" s="198" t="s">
        <v>539</v>
      </c>
      <c r="F19" s="198" t="s">
        <v>450</v>
      </c>
      <c r="G19" s="34"/>
    </row>
    <row r="20" spans="1:7" ht="90.75" customHeight="1">
      <c r="A20" s="348"/>
      <c r="B20" s="355"/>
      <c r="C20" s="358"/>
      <c r="D20" s="361"/>
      <c r="E20" s="198"/>
      <c r="F20" s="198" t="s">
        <v>635</v>
      </c>
      <c r="G20" s="34"/>
    </row>
    <row r="21" spans="1:7" ht="74.25" customHeight="1">
      <c r="A21" s="348"/>
      <c r="B21" s="356"/>
      <c r="C21" s="359"/>
      <c r="D21" s="362"/>
      <c r="E21" s="37"/>
      <c r="F21" s="37" t="s">
        <v>634</v>
      </c>
      <c r="G21" s="34"/>
    </row>
    <row r="22" spans="1:7" ht="90" customHeight="1">
      <c r="A22" s="348"/>
      <c r="B22" s="366">
        <v>2.0299999999999998</v>
      </c>
      <c r="C22" s="366" t="s">
        <v>845</v>
      </c>
      <c r="D22" s="369" t="s">
        <v>2360</v>
      </c>
      <c r="E22" s="357" t="s">
        <v>447</v>
      </c>
      <c r="F22" s="197" t="s">
        <v>470</v>
      </c>
      <c r="G22" s="34"/>
    </row>
    <row r="23" spans="1:7" ht="109.5" customHeight="1">
      <c r="A23" s="348"/>
      <c r="B23" s="367"/>
      <c r="C23" s="367"/>
      <c r="D23" s="370"/>
      <c r="E23" s="358"/>
      <c r="F23" s="198" t="s">
        <v>846</v>
      </c>
      <c r="G23" s="34"/>
    </row>
    <row r="24" spans="1:7" ht="74.25" customHeight="1">
      <c r="A24" s="348"/>
      <c r="B24" s="368"/>
      <c r="C24" s="368"/>
      <c r="D24" s="371"/>
      <c r="E24" s="359"/>
      <c r="F24" s="37" t="s">
        <v>446</v>
      </c>
      <c r="G24" s="34"/>
    </row>
    <row r="25" spans="1:7" ht="72" customHeight="1">
      <c r="A25" s="348"/>
      <c r="B25" s="2" t="s">
        <v>468</v>
      </c>
      <c r="C25" s="37" t="s">
        <v>469</v>
      </c>
      <c r="D25" s="39" t="s">
        <v>2361</v>
      </c>
      <c r="E25" s="37" t="s">
        <v>2356</v>
      </c>
      <c r="F25" s="37" t="s">
        <v>471</v>
      </c>
      <c r="G25" s="34"/>
    </row>
    <row r="26" spans="1:7" ht="98.1" customHeight="1">
      <c r="A26" s="348"/>
      <c r="B26" s="363">
        <v>3</v>
      </c>
      <c r="C26" s="354" t="s">
        <v>72</v>
      </c>
      <c r="D26" s="360" t="s">
        <v>2362</v>
      </c>
      <c r="E26" s="357" t="s">
        <v>0</v>
      </c>
      <c r="F26" s="197" t="s">
        <v>66</v>
      </c>
      <c r="G26" s="34"/>
    </row>
    <row r="27" spans="1:7" ht="90" customHeight="1">
      <c r="A27" s="348"/>
      <c r="B27" s="364"/>
      <c r="C27" s="355"/>
      <c r="D27" s="361"/>
      <c r="E27" s="358"/>
      <c r="F27" s="198" t="s">
        <v>61</v>
      </c>
      <c r="G27" s="34"/>
    </row>
    <row r="28" spans="1:7" ht="19.350000000000001" customHeight="1">
      <c r="A28" s="348"/>
      <c r="B28" s="364"/>
      <c r="C28" s="355"/>
      <c r="D28" s="361"/>
      <c r="E28" s="358"/>
      <c r="F28" s="198" t="s">
        <v>62</v>
      </c>
      <c r="G28" s="34"/>
    </row>
    <row r="29" spans="1:7" ht="74.45" customHeight="1">
      <c r="A29" s="348"/>
      <c r="B29" s="364"/>
      <c r="C29" s="355"/>
      <c r="D29" s="361"/>
      <c r="E29" s="358"/>
      <c r="F29" s="198" t="s">
        <v>63</v>
      </c>
      <c r="G29" s="34"/>
    </row>
    <row r="30" spans="1:7" ht="62.45" customHeight="1">
      <c r="A30" s="348"/>
      <c r="B30" s="364"/>
      <c r="C30" s="355"/>
      <c r="D30" s="361"/>
      <c r="E30" s="358"/>
      <c r="F30" s="198" t="s">
        <v>64</v>
      </c>
      <c r="G30" s="34"/>
    </row>
    <row r="31" spans="1:7" ht="81" customHeight="1">
      <c r="A31" s="348"/>
      <c r="B31" s="364"/>
      <c r="C31" s="355"/>
      <c r="D31" s="361"/>
      <c r="E31" s="358"/>
      <c r="F31" s="198" t="s">
        <v>65</v>
      </c>
      <c r="G31" s="34"/>
    </row>
    <row r="32" spans="1:7" ht="48.75" customHeight="1">
      <c r="A32" s="348"/>
      <c r="B32" s="364"/>
      <c r="C32" s="355"/>
      <c r="D32" s="361"/>
      <c r="E32" s="358"/>
      <c r="F32" s="198" t="s">
        <v>68</v>
      </c>
      <c r="G32" s="34"/>
    </row>
    <row r="33" spans="1:7" ht="98.45" customHeight="1">
      <c r="A33" s="348"/>
      <c r="B33" s="364"/>
      <c r="C33" s="355"/>
      <c r="D33" s="361"/>
      <c r="E33" s="358"/>
      <c r="F33" s="198" t="s">
        <v>67</v>
      </c>
      <c r="G33" s="34"/>
    </row>
    <row r="34" spans="1:7" ht="89.1" customHeight="1">
      <c r="A34" s="348"/>
      <c r="B34" s="364"/>
      <c r="C34" s="355"/>
      <c r="D34" s="361"/>
      <c r="E34" s="358"/>
      <c r="F34" s="198" t="s">
        <v>69</v>
      </c>
      <c r="G34" s="34"/>
    </row>
    <row r="35" spans="1:7" ht="29.1" customHeight="1">
      <c r="A35" s="348"/>
      <c r="B35" s="364"/>
      <c r="C35" s="355"/>
      <c r="D35" s="361"/>
      <c r="E35" s="358"/>
      <c r="F35" s="198" t="s">
        <v>70</v>
      </c>
      <c r="G35" s="34"/>
    </row>
    <row r="36" spans="1:7" ht="126.75">
      <c r="A36" s="348"/>
      <c r="B36" s="365"/>
      <c r="C36" s="356"/>
      <c r="D36" s="362"/>
      <c r="E36" s="359"/>
      <c r="F36" s="199" t="s">
        <v>71</v>
      </c>
      <c r="G36" s="34"/>
    </row>
    <row r="37" spans="1:7" ht="112.5">
      <c r="A37" s="348"/>
      <c r="B37" s="171">
        <v>3.01</v>
      </c>
      <c r="C37" s="172" t="s">
        <v>72</v>
      </c>
      <c r="D37" s="39" t="s">
        <v>2363</v>
      </c>
      <c r="E37" s="200" t="s">
        <v>1351</v>
      </c>
      <c r="F37" s="201" t="s">
        <v>1457</v>
      </c>
      <c r="G37" s="34"/>
    </row>
    <row r="38" spans="1:7" ht="101.25">
      <c r="A38" s="348"/>
      <c r="B38" s="171">
        <v>3.02</v>
      </c>
      <c r="C38" s="172" t="s">
        <v>1384</v>
      </c>
      <c r="D38" s="39" t="s">
        <v>2364</v>
      </c>
      <c r="E38" s="200" t="s">
        <v>1399</v>
      </c>
      <c r="F38" s="201" t="s">
        <v>1458</v>
      </c>
      <c r="G38" s="34"/>
    </row>
    <row r="39" spans="1:7" ht="101.25">
      <c r="A39" s="348"/>
      <c r="B39" s="182">
        <v>4</v>
      </c>
      <c r="C39" s="181" t="s">
        <v>1554</v>
      </c>
      <c r="D39" s="39" t="s">
        <v>2365</v>
      </c>
      <c r="E39" s="37" t="s">
        <v>2307</v>
      </c>
      <c r="F39" s="37" t="s">
        <v>1555</v>
      </c>
      <c r="G39" s="34"/>
    </row>
    <row r="40" spans="1:7" ht="56.25">
      <c r="A40" s="348"/>
      <c r="B40" s="171">
        <v>4.01</v>
      </c>
      <c r="C40" s="181" t="s">
        <v>1554</v>
      </c>
      <c r="D40" s="39" t="s">
        <v>2367</v>
      </c>
      <c r="E40" s="37" t="s">
        <v>2321</v>
      </c>
      <c r="F40" s="37" t="s">
        <v>2326</v>
      </c>
      <c r="G40" s="34"/>
    </row>
    <row r="41" spans="1:7" ht="56.25">
      <c r="A41" s="348"/>
      <c r="B41" s="171" t="s">
        <v>2354</v>
      </c>
      <c r="C41" s="181" t="s">
        <v>1554</v>
      </c>
      <c r="D41" s="39" t="s">
        <v>2366</v>
      </c>
      <c r="E41" s="37" t="s">
        <v>2357</v>
      </c>
      <c r="F41" s="37" t="s">
        <v>2355</v>
      </c>
      <c r="G41" s="34"/>
    </row>
    <row r="42" spans="1:7" ht="56.25">
      <c r="A42" s="348"/>
      <c r="B42" s="171" t="s">
        <v>2399</v>
      </c>
      <c r="C42" s="181" t="s">
        <v>1554</v>
      </c>
      <c r="D42" s="39" t="s">
        <v>2406</v>
      </c>
      <c r="E42" s="37" t="s">
        <v>2356</v>
      </c>
      <c r="F42" s="37" t="s">
        <v>2400</v>
      </c>
      <c r="G42" s="34"/>
    </row>
    <row r="43" spans="1:7" ht="123.75">
      <c r="A43" s="348"/>
      <c r="B43" s="193">
        <v>4.0999999999999996</v>
      </c>
      <c r="C43" s="181" t="s">
        <v>2405</v>
      </c>
      <c r="D43" s="194">
        <v>42867</v>
      </c>
      <c r="E43" s="202" t="s">
        <v>2408</v>
      </c>
      <c r="F43" s="37" t="s">
        <v>2407</v>
      </c>
      <c r="G43" s="34"/>
    </row>
    <row r="44" spans="1:7" ht="78.75">
      <c r="A44" s="348"/>
      <c r="B44" s="193">
        <v>4.2</v>
      </c>
      <c r="C44" s="181" t="s">
        <v>2405</v>
      </c>
      <c r="D44" s="194">
        <v>42704</v>
      </c>
      <c r="E44" s="202" t="s">
        <v>2625</v>
      </c>
      <c r="F44" s="37" t="s">
        <v>2598</v>
      </c>
      <c r="G44" s="34"/>
    </row>
    <row r="45" spans="1:7" ht="157.5">
      <c r="A45" s="348"/>
      <c r="B45" s="243">
        <v>5</v>
      </c>
      <c r="C45" s="181" t="s">
        <v>2405</v>
      </c>
      <c r="D45" s="194">
        <v>42867</v>
      </c>
      <c r="E45" s="202" t="s">
        <v>13032</v>
      </c>
      <c r="F45" s="37" t="s">
        <v>12754</v>
      </c>
      <c r="G45" s="34"/>
    </row>
    <row r="46" spans="1:7" ht="45">
      <c r="A46" s="348"/>
      <c r="B46" s="193">
        <v>5.01</v>
      </c>
      <c r="C46" s="181" t="s">
        <v>2405</v>
      </c>
      <c r="D46" s="194">
        <v>42907</v>
      </c>
      <c r="E46" s="202" t="s">
        <v>13052</v>
      </c>
      <c r="F46" s="37" t="s">
        <v>12754</v>
      </c>
      <c r="G46" s="34"/>
    </row>
    <row r="47" spans="1:7" ht="67.5">
      <c r="A47" s="348"/>
      <c r="B47" s="193">
        <v>5.0999999999999996</v>
      </c>
      <c r="C47" s="181" t="s">
        <v>2405</v>
      </c>
      <c r="D47" s="194">
        <v>43070</v>
      </c>
      <c r="E47" s="202" t="s">
        <v>13247</v>
      </c>
      <c r="F47" s="37" t="s">
        <v>13248</v>
      </c>
      <c r="G47" s="34"/>
    </row>
    <row r="48" spans="1:7" ht="56.25">
      <c r="A48" s="348"/>
      <c r="B48" s="193">
        <v>5.1100000000000003</v>
      </c>
      <c r="C48" s="181" t="s">
        <v>13489</v>
      </c>
      <c r="D48" s="194">
        <v>43217</v>
      </c>
      <c r="E48" s="202" t="s">
        <v>13617</v>
      </c>
      <c r="F48" s="37" t="s">
        <v>13523</v>
      </c>
      <c r="G48" s="34"/>
    </row>
    <row r="49" spans="1:7" ht="56.25">
      <c r="A49" s="348"/>
      <c r="B49" s="193">
        <v>5.12</v>
      </c>
      <c r="C49" s="181" t="s">
        <v>13489</v>
      </c>
      <c r="D49" s="194">
        <v>43581</v>
      </c>
      <c r="E49" s="202" t="s">
        <v>13617</v>
      </c>
      <c r="F49" s="37" t="s">
        <v>14191</v>
      </c>
      <c r="G49" s="34"/>
    </row>
    <row r="50" spans="1:7" ht="78.75">
      <c r="A50" s="348"/>
      <c r="B50" s="243">
        <v>6</v>
      </c>
      <c r="C50" s="181" t="s">
        <v>13489</v>
      </c>
      <c r="D50" s="194">
        <v>43964</v>
      </c>
      <c r="E50" s="202" t="s">
        <v>14433</v>
      </c>
      <c r="F50" s="37" t="s">
        <v>14204</v>
      </c>
      <c r="G50" s="34"/>
    </row>
    <row r="51" spans="1:7" ht="45">
      <c r="A51" s="348"/>
      <c r="B51" s="193">
        <v>6.01</v>
      </c>
      <c r="C51" s="181" t="s">
        <v>13489</v>
      </c>
      <c r="D51" s="194">
        <v>43970</v>
      </c>
      <c r="E51" s="202" t="s">
        <v>15503</v>
      </c>
      <c r="F51" s="202" t="s">
        <v>14204</v>
      </c>
      <c r="G51" s="34"/>
    </row>
    <row r="52" spans="1:7" ht="13.5" thickBot="1">
      <c r="A52" s="349"/>
      <c r="B52" s="350" t="str">
        <f ca="1">OFFSET(L!$C$1,MATCH("General"&amp;"Cpy",L!$A:$A,0)-1,SL,,)</f>
        <v>© 2020 Responsible Minerals Initiative. All rights reserved.</v>
      </c>
      <c r="C52" s="350"/>
      <c r="D52" s="350"/>
      <c r="E52" s="350"/>
      <c r="F52" s="350"/>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97"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60">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0">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65">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7"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20">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30">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35">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7"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90" zoomScaleNormal="90" zoomScalePageLayoutView="70" workbookViewId="0">
      <selection activeCell="D3" sqref="D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0"/>
      <c r="B1" s="401"/>
      <c r="C1" s="401"/>
      <c r="D1" s="401"/>
      <c r="E1" s="401"/>
      <c r="F1" s="401"/>
      <c r="G1" s="401"/>
      <c r="H1" s="401"/>
      <c r="I1" s="401"/>
      <c r="J1" s="401"/>
      <c r="K1" s="40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3" t="str">
        <f ca="1">OFFSET(L!$C$1,MATCH("Declaration"&amp;ADDRESS(ROW(),COLUMN(),4),L!$A:$A,0)-1,SL,,)</f>
        <v>Conflict Minerals Reporting Template (CMRT)</v>
      </c>
      <c r="E2" s="404"/>
      <c r="F2" s="404"/>
      <c r="G2" s="404"/>
      <c r="H2" s="404"/>
      <c r="I2" s="404"/>
      <c r="J2" s="40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3"/>
      <c r="G3" s="413"/>
      <c r="H3" s="413"/>
      <c r="I3" s="184"/>
      <c r="J3" s="168" t="s">
        <v>15505</v>
      </c>
      <c r="K3" s="47"/>
      <c r="L3" s="139"/>
      <c r="M3" s="130"/>
      <c r="N3" s="130"/>
      <c r="O3" s="131"/>
      <c r="P3" s="144">
        <f>MATCH($D$3,LN,0)</f>
        <v>1</v>
      </c>
    </row>
    <row r="4" spans="1:34" ht="15.75">
      <c r="A4" s="45"/>
      <c r="B4" s="409" t="str">
        <f ca="1">OFFSET(L!$C$1,MATCH("Declaration"&amp;ADDRESS(ROW(),COLUMN(),4),L!$A:$A,0)-1,SL,,)</f>
        <v>The purpose of this document is to collect sourcing information on tin, tantalum, tungsten and gold used in products</v>
      </c>
      <c r="C4" s="409"/>
      <c r="D4" s="409"/>
      <c r="E4" s="409"/>
      <c r="F4" s="409"/>
      <c r="G4" s="409"/>
      <c r="H4" s="409"/>
      <c r="I4" s="414" t="str">
        <f ca="1">OFFSET(L!$C$1,MATCH("Declaration"&amp;ADDRESS(ROW(),COLUMN(),4),L!$A:$A,0)-1,SL,,)</f>
        <v>Link to Terms &amp; Conditions</v>
      </c>
      <c r="J4" s="41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9" t="str">
        <f ca="1">OFFSET(L!$C$1,MATCH("Declaration"&amp;ADDRESS(ROW(),COLUMN(),4),L!$A:$A,0)-1,SL,,)</f>
        <v>Mandatory fields are noted with an asterisk (*).  Consult the instructions tab for guidance on how to answer each question.</v>
      </c>
      <c r="C6" s="409"/>
      <c r="D6" s="409"/>
      <c r="E6" s="409"/>
      <c r="F6" s="409"/>
      <c r="G6" s="409"/>
      <c r="H6" s="409"/>
      <c r="I6" s="409"/>
      <c r="J6" s="40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8" t="str">
        <f ca="1">OFFSET(L!$C$1,MATCH("Declaration"&amp;ADDRESS(ROW(),COLUMN(),4),L!$A:$A,0)-1,SL,,)</f>
        <v>Company Information</v>
      </c>
      <c r="C7" s="418"/>
      <c r="D7" s="418"/>
      <c r="E7" s="418"/>
      <c r="F7" s="418"/>
      <c r="G7" s="418"/>
      <c r="H7" s="418"/>
      <c r="I7" s="418"/>
      <c r="J7" s="418"/>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6" t="s">
        <v>15506</v>
      </c>
      <c r="E8" s="407"/>
      <c r="F8" s="407"/>
      <c r="G8" s="407"/>
      <c r="H8" s="407"/>
      <c r="I8" s="407"/>
      <c r="J8" s="408"/>
      <c r="K8" s="50"/>
      <c r="L8" s="141"/>
      <c r="M8" s="130"/>
      <c r="N8" s="130"/>
      <c r="O8" s="131"/>
      <c r="P8" s="12"/>
      <c r="Q8" s="12"/>
      <c r="R8" s="12"/>
      <c r="S8" s="12"/>
      <c r="T8" s="12"/>
      <c r="U8" s="12"/>
      <c r="V8" s="12"/>
      <c r="W8" s="12"/>
      <c r="X8" s="12"/>
      <c r="Y8" s="12"/>
      <c r="Z8" s="12"/>
      <c r="AA8" s="12"/>
      <c r="AB8" s="12"/>
      <c r="AC8" s="12"/>
      <c r="AD8" s="12"/>
      <c r="AE8" s="12"/>
      <c r="AF8" s="12"/>
      <c r="AG8" s="12"/>
      <c r="AH8" s="12"/>
    </row>
    <row r="9" spans="1:34" ht="16.5">
      <c r="A9" s="49"/>
      <c r="B9" s="86" t="str">
        <f ca="1">OFFSET(L!$C$1,MATCH("Declaration"&amp;ADDRESS(ROW(),COLUMN(),4),L!$A:$A,0)-1,SL,,)</f>
        <v>Declaration Scope or Class (*):</v>
      </c>
      <c r="C9" s="89"/>
      <c r="D9" s="415" t="s">
        <v>504</v>
      </c>
      <c r="E9" s="416"/>
      <c r="F9" s="416"/>
      <c r="G9" s="41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19" t="str">
        <f ca="1">OFFSET(L!$C$1,MATCH("Declaration"&amp;ADDRESS(ROW(),COLUMN(),4)&amp;LEFT($D$9,1),L!$A:$A,0)-1,SL,,)</f>
        <v>Description of Scope:</v>
      </c>
      <c r="C10" s="151"/>
      <c r="D10" s="410" t="s">
        <v>15507</v>
      </c>
      <c r="E10" s="411"/>
      <c r="F10" s="411"/>
      <c r="G10" s="411"/>
      <c r="H10" s="411"/>
      <c r="I10" s="411"/>
      <c r="J10" s="41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5">
      <c r="A11" s="49"/>
      <c r="B11" s="420"/>
      <c r="C11" s="151"/>
      <c r="D11" s="429" t="str">
        <f ca="1">IF(D9=Q9,OFFSET(L!$C$1,MATCH("Declaration"&amp;ADDRESS(ROW(),COLUMN(),4),L!$A:$A,0)-1,SL,,),"")</f>
        <v/>
      </c>
      <c r="E11" s="430"/>
      <c r="F11" s="430"/>
      <c r="G11" s="430"/>
      <c r="H11" s="430"/>
      <c r="I11" s="430"/>
      <c r="J11" s="43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2"/>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2"/>
      <c r="E13" s="393"/>
      <c r="F13" s="393"/>
      <c r="G13" s="393"/>
      <c r="H13" s="393"/>
      <c r="I13" s="393"/>
      <c r="J13" s="39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2" t="s">
        <v>15508</v>
      </c>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2" t="s">
        <v>15509</v>
      </c>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5">
      <c r="A16" s="49"/>
      <c r="B16" s="51" t="str">
        <f ca="1">OFFSET(L!$C$1,MATCH("Declaration"&amp;ADDRESS(ROW(),COLUMN(),4),L!$A:$A,0)-1,SL,,)</f>
        <v>Email – Contact (*):</v>
      </c>
      <c r="C16" s="90"/>
      <c r="D16" s="421" t="s">
        <v>15510</v>
      </c>
      <c r="E16" s="422"/>
      <c r="F16" s="422"/>
      <c r="G16" s="422"/>
      <c r="H16" s="422"/>
      <c r="I16" s="422"/>
      <c r="J16" s="42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2" t="s">
        <v>15511</v>
      </c>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2" t="s">
        <v>15512</v>
      </c>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2" t="s">
        <v>15513</v>
      </c>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1" t="s">
        <v>15514</v>
      </c>
      <c r="E20" s="422"/>
      <c r="F20" s="422"/>
      <c r="G20" s="422"/>
      <c r="H20" s="422"/>
      <c r="I20" s="422"/>
      <c r="J20" s="42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6" t="s">
        <v>15515</v>
      </c>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9">
        <v>44013</v>
      </c>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6"/>
      <c r="E23" s="42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1" t="str">
        <f ca="1">OFFSET(L!$C$1,MATCH("Declaration"&amp;ADDRESS(ROW(),COLUMN(),4),L!$A:$A,0)-1,SL,,)</f>
        <v>Answer the following questions 1 - 8 based on the declaration scope indicated above</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7" t="str">
        <f ca="1">OFFSET(L!$C$1,MATCH("Declaration"&amp;ADDRESS(ROW(),COLUMN(),4),L!$A:$A,0)-1,SL,,)</f>
        <v>Answer</v>
      </c>
      <c r="E25" s="427"/>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8" t="s">
        <v>499</v>
      </c>
      <c r="E26" s="379"/>
      <c r="F26" s="15"/>
      <c r="G26" s="380"/>
      <c r="H26" s="381"/>
      <c r="I26" s="381"/>
      <c r="J26" s="382"/>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8" t="s">
        <v>499</v>
      </c>
      <c r="E29" s="379"/>
      <c r="F29" s="15"/>
      <c r="G29" s="380"/>
      <c r="H29" s="381"/>
      <c r="I29" s="381"/>
      <c r="J29" s="382"/>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6"/>
      <c r="K31" s="47"/>
      <c r="L31" s="136" t="s">
        <v>1266</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5"/>
      <c r="E32" s="396"/>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8"/>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5"/>
      <c r="I37" s="425"/>
      <c r="J37" s="425"/>
      <c r="K37" s="47"/>
      <c r="L37" s="136" t="s">
        <v>1266</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8"/>
      <c r="E38" s="379"/>
      <c r="F38" s="58"/>
      <c r="G38" s="380"/>
      <c r="H38" s="381"/>
      <c r="I38" s="381"/>
      <c r="J38" s="382"/>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499</v>
      </c>
      <c r="E39" s="379"/>
      <c r="F39" s="58"/>
      <c r="G39" s="380"/>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499</v>
      </c>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8"/>
      <c r="E41" s="379"/>
      <c r="F41" s="58"/>
      <c r="G41" s="380"/>
      <c r="H41" s="381"/>
      <c r="I41" s="381"/>
      <c r="J41" s="382"/>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5" t="str">
        <f ca="1">D25</f>
        <v>Answer</v>
      </c>
      <c r="E43" s="385"/>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8"/>
      <c r="E44" s="379"/>
      <c r="F44" s="58"/>
      <c r="G44" s="380"/>
      <c r="H44" s="381"/>
      <c r="I44" s="381"/>
      <c r="J44" s="382"/>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499</v>
      </c>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499</v>
      </c>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78"/>
      <c r="E47" s="379"/>
      <c r="F47" s="58"/>
      <c r="G47" s="380"/>
      <c r="H47" s="381"/>
      <c r="I47" s="381"/>
      <c r="J47" s="382"/>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5" t="str">
        <f ca="1">D25</f>
        <v>Answer</v>
      </c>
      <c r="E49" s="385"/>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78"/>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78"/>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5" t="str">
        <f ca="1">D25</f>
        <v>Answer</v>
      </c>
      <c r="E55" s="385"/>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83"/>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3">
        <v>1</v>
      </c>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3">
        <v>1</v>
      </c>
      <c r="E58" s="384"/>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83"/>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5" t="str">
        <f ca="1">D25</f>
        <v>Answer</v>
      </c>
      <c r="E61" s="385"/>
      <c r="F61" s="21"/>
      <c r="G61" s="55" t="str">
        <f ca="1">G25</f>
        <v>Comments</v>
      </c>
      <c r="H61" s="424"/>
      <c r="I61" s="424"/>
      <c r="J61" s="42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5"/>
      <c r="E62" s="396"/>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498</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498</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78"/>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5" t="str">
        <f ca="1">D25</f>
        <v>Answer</v>
      </c>
      <c r="E67" s="385"/>
      <c r="F67" s="21"/>
      <c r="G67" s="55" t="str">
        <f ca="1">G25</f>
        <v>Comments</v>
      </c>
      <c r="H67" s="424" t="str">
        <f>IF(Q75="(*)","Click here to enter smelter names","")</f>
        <v/>
      </c>
      <c r="I67" s="424"/>
      <c r="J67" s="42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78"/>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78"/>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8" t="str">
        <f ca="1">OFFSET(L!$C$1,MATCH("Declaration"&amp;ADDRESS(ROW(),COLUMN(),4),L!$A:$A,0)-1,SL,,)</f>
        <v>Answer the Following Questions at a Company Level</v>
      </c>
      <c r="C73" s="438"/>
      <c r="D73" s="438"/>
      <c r="E73" s="438"/>
      <c r="F73" s="438"/>
      <c r="G73" s="438"/>
      <c r="H73" s="438"/>
      <c r="I73" s="438"/>
      <c r="J73" s="43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7" t="str">
        <f ca="1">D25</f>
        <v>Answer</v>
      </c>
      <c r="E74" s="427"/>
      <c r="F74" s="64"/>
      <c r="G74" s="427" t="str">
        <f ca="1">G25</f>
        <v>Comments</v>
      </c>
      <c r="H74" s="427" t="e">
        <f>HLOOKUP(SL,LT,$O74,0)</f>
        <v>#NAME?</v>
      </c>
      <c r="I74" s="42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8"/>
      <c r="H76" s="428"/>
      <c r="I76" s="428"/>
      <c r="J76" s="42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499</v>
      </c>
      <c r="E77" s="379"/>
      <c r="F77" s="68"/>
      <c r="G77" s="397"/>
      <c r="H77" s="398"/>
      <c r="I77" s="398"/>
      <c r="J77" s="39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498</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15442</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5" t="s">
        <v>498</v>
      </c>
      <c r="E85" s="436"/>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8"/>
      <c r="H86" s="428"/>
      <c r="I86" s="428"/>
      <c r="J86" s="42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499</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7"/>
      <c r="H88" s="437"/>
      <c r="I88" s="437"/>
      <c r="J88" s="437"/>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499</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4" t="str">
        <f>IF(OR($D$8="",$I$3=""),"","Click here to check required fields completion")</f>
        <v/>
      </c>
      <c r="C90" s="434"/>
      <c r="D90" s="434"/>
      <c r="E90" s="434"/>
      <c r="F90" s="434"/>
      <c r="G90" s="434"/>
      <c r="H90" s="434"/>
      <c r="I90" s="434"/>
      <c r="J90" s="43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2" t="str">
        <f ca="1">OFFSET(L!$C$1,MATCH("General"&amp;"Cpy",L!$A:$A,0)-1,SL,,)</f>
        <v>© 2020 Responsible Minerals Initiative. All rights reserved.</v>
      </c>
      <c r="B91" s="433"/>
      <c r="C91" s="433"/>
      <c r="D91" s="433"/>
      <c r="E91" s="433"/>
      <c r="F91" s="433"/>
      <c r="G91" s="433"/>
      <c r="H91" s="433"/>
      <c r="I91" s="433"/>
      <c r="J91" s="43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phoneticPr fontId="97" type="noConversion"/>
  <conditionalFormatting sqref="D75:E75 D77:E77 D79:E79 D81:E81 D85:E85 D87:E87 D89:E89 D83">
    <cfRule type="expression" dxfId="111" priority="63" stopIfTrue="1">
      <formula>AND(OR($D$26="No",AND($D$26="Yes",$D$32="No")),OR($D$27="No",AND($D$27="Yes",$D$33="No")),OR($D$28="No",AND($D$28="Yes",$D$34="No")),OR($D$29="No",AND($D$29="Yes",$D$35="No")))</formula>
    </cfRule>
    <cfRule type="expression" dxfId="110" priority="64" stopIfTrue="1">
      <formula>IF(D75="",TRUE)</formula>
    </cfRule>
  </conditionalFormatting>
  <conditionalFormatting sqref="G77:J77">
    <cfRule type="expression" dxfId="109" priority="35" stopIfTrue="1">
      <formula>IF(AND($D$77="Yes",$G$77=""),TRUE)</formula>
    </cfRule>
  </conditionalFormatting>
  <conditionalFormatting sqref="D26:E26">
    <cfRule type="expression" dxfId="108" priority="115" stopIfTrue="1">
      <formula>IF($D$26="",TRUE)</formula>
    </cfRule>
  </conditionalFormatting>
  <conditionalFormatting sqref="D27:E27">
    <cfRule type="expression" dxfId="107" priority="122" stopIfTrue="1">
      <formula>IF($D$27="",TRUE)</formula>
    </cfRule>
  </conditionalFormatting>
  <conditionalFormatting sqref="D28:E28">
    <cfRule type="expression" dxfId="106" priority="123" stopIfTrue="1">
      <formula>IF($D$28="",TRUE)</formula>
    </cfRule>
  </conditionalFormatting>
  <conditionalFormatting sqref="D29:E29">
    <cfRule type="expression" dxfId="105" priority="124" stopIfTrue="1">
      <formula>IF($D$29="",TRUE)</formula>
    </cfRule>
  </conditionalFormatting>
  <conditionalFormatting sqref="D8:J8">
    <cfRule type="expression" dxfId="104" priority="129" stopIfTrue="1">
      <formula>IF($D$8="",TRUE)</formula>
    </cfRule>
  </conditionalFormatting>
  <conditionalFormatting sqref="D9:G9">
    <cfRule type="expression" dxfId="103" priority="130" stopIfTrue="1">
      <formula>IF($D$9="",TRUE)</formula>
    </cfRule>
  </conditionalFormatting>
  <conditionalFormatting sqref="D15:J15">
    <cfRule type="expression" dxfId="102" priority="131" stopIfTrue="1">
      <formula>IF($D$15="",TRUE)</formula>
    </cfRule>
  </conditionalFormatting>
  <conditionalFormatting sqref="D16:J16">
    <cfRule type="expression" dxfId="101" priority="132" stopIfTrue="1">
      <formula>IF($D$16="",TRUE)</formula>
    </cfRule>
  </conditionalFormatting>
  <conditionalFormatting sqref="D17:J17">
    <cfRule type="expression" dxfId="100" priority="133" stopIfTrue="1">
      <formula>IF($D$17="",TRUE)</formula>
    </cfRule>
  </conditionalFormatting>
  <conditionalFormatting sqref="D18:J18">
    <cfRule type="expression" dxfId="99" priority="134" stopIfTrue="1">
      <formula>IF($D$18="",TRUE)</formula>
    </cfRule>
  </conditionalFormatting>
  <conditionalFormatting sqref="D22:E22">
    <cfRule type="expression" dxfId="98" priority="137" stopIfTrue="1">
      <formula>IF($D$22="",TRUE)</formula>
    </cfRule>
  </conditionalFormatting>
  <conditionalFormatting sqref="D10:J10">
    <cfRule type="expression" dxfId="97" priority="34" stopIfTrue="1">
      <formula>IF($D$9=$Q$9,TRUE)</formula>
    </cfRule>
    <cfRule type="expression" dxfId="96" priority="144" stopIfTrue="1">
      <formula>IF(AND($D$10="",$D$9=$R$9),TRUE)</formula>
    </cfRule>
  </conditionalFormatting>
  <conditionalFormatting sqref="D34:E34 D40:E40 D52:E52 D58:E58 D64:E64 D70:E70">
    <cfRule type="expression" dxfId="95" priority="27" stopIfTrue="1">
      <formula>$P$28=""</formula>
    </cfRule>
  </conditionalFormatting>
  <conditionalFormatting sqref="D35:E35 D41:E41 D53:E53 D59:E59 D65:E65 D71:E71">
    <cfRule type="expression" dxfId="94" priority="142" stopIfTrue="1">
      <formula>$P$29=""</formula>
    </cfRule>
  </conditionalFormatting>
  <conditionalFormatting sqref="D32:E32">
    <cfRule type="expression" dxfId="93" priority="120" stopIfTrue="1">
      <formula>$P$26=""</formula>
    </cfRule>
  </conditionalFormatting>
  <conditionalFormatting sqref="D32:E32">
    <cfRule type="expression" dxfId="92" priority="33" stopIfTrue="1">
      <formula>IF(AND(OR($D$26="Yes",$D$26=""),$D$32=""),1,0)</formula>
    </cfRule>
  </conditionalFormatting>
  <conditionalFormatting sqref="D38 D50 D56 D62 D68">
    <cfRule type="expression" dxfId="91" priority="29" stopIfTrue="1">
      <formula>$P$32=""</formula>
    </cfRule>
  </conditionalFormatting>
  <conditionalFormatting sqref="D39:E39 D51 D57 D63 D69">
    <cfRule type="expression" dxfId="90" priority="28" stopIfTrue="1">
      <formula>$P$33=""</formula>
    </cfRule>
  </conditionalFormatting>
  <conditionalFormatting sqref="D40 D52 D58 D64 D70">
    <cfRule type="expression" dxfId="89" priority="18" stopIfTrue="1">
      <formula>$P$34=""</formula>
    </cfRule>
    <cfRule type="expression" dxfId="88" priority="140" stopIfTrue="1">
      <formula>IF(AND(OR($D$28="Yes",$D$28=""),D40=""),1,0)</formula>
    </cfRule>
  </conditionalFormatting>
  <conditionalFormatting sqref="D41 D53 D59 D65 D71">
    <cfRule type="expression" dxfId="87" priority="26" stopIfTrue="1">
      <formula>$P$35=""</formula>
    </cfRule>
  </conditionalFormatting>
  <conditionalFormatting sqref="D38:E38 D50:E50 D56:E56 D62:E62 D68:E68">
    <cfRule type="expression" dxfId="86" priority="31" stopIfTrue="1">
      <formula>$P$26=""</formula>
    </cfRule>
    <cfRule type="expression" dxfId="85" priority="32" stopIfTrue="1">
      <formula>IF(AND(OR($D$26="Yes",$D$26=""),D38=""),1,0)</formula>
    </cfRule>
  </conditionalFormatting>
  <conditionalFormatting sqref="G85:J85">
    <cfRule type="expression" dxfId="84" priority="25" stopIfTrue="1">
      <formula>IF(AND($D$85="Yes, using other format (describe)",$G$85=""),TRUE)</formula>
    </cfRule>
  </conditionalFormatting>
  <conditionalFormatting sqref="D39:E39 D51:E51 D57:E57 D63:E63 D69:E69">
    <cfRule type="expression" dxfId="83" priority="138" stopIfTrue="1">
      <formula>$P$39=""</formula>
    </cfRule>
    <cfRule type="expression" dxfId="82" priority="139" stopIfTrue="1">
      <formula>IF(AND(OR($D$27="Yes",$D$27=""),D39=""),1,0)</formula>
    </cfRule>
  </conditionalFormatting>
  <conditionalFormatting sqref="D33:E33">
    <cfRule type="expression" dxfId="81" priority="20" stopIfTrue="1">
      <formula>IF(AND(OR($D$27="Yes",$D$27=""),$D$33=""),1,0)</formula>
    </cfRule>
    <cfRule type="expression" dxfId="80" priority="21" stopIfTrue="1">
      <formula>$P$27=""</formula>
    </cfRule>
  </conditionalFormatting>
  <conditionalFormatting sqref="D34:E34">
    <cfRule type="expression" dxfId="79" priority="141" stopIfTrue="1">
      <formula>IF(AND(OR($D$28="Yes",$D$28=""),$D$34=""),1,0)</formula>
    </cfRule>
  </conditionalFormatting>
  <conditionalFormatting sqref="D41:E41 D53:E53 D59:E59 D65:E65 D71:E71">
    <cfRule type="expression" dxfId="78" priority="143" stopIfTrue="1">
      <formula>IF(AND(OR($D$29="Yes",$D$29=""),D41=""),1,0)</formula>
    </cfRule>
  </conditionalFormatting>
  <conditionalFormatting sqref="D35:E35">
    <cfRule type="expression" dxfId="77" priority="17" stopIfTrue="1">
      <formula>IF(AND(OR($D$29="Yes",$D$29=""),$D$35=""),1,0)</formula>
    </cfRule>
  </conditionalFormatting>
  <conditionalFormatting sqref="D20:J20">
    <cfRule type="expression" dxfId="76" priority="13" stopIfTrue="1">
      <formula>IF($D$20="",TRUE)</formula>
    </cfRule>
  </conditionalFormatting>
  <conditionalFormatting sqref="D46:E46">
    <cfRule type="expression" dxfId="75" priority="3" stopIfTrue="1">
      <formula>$P$28=""</formula>
    </cfRule>
  </conditionalFormatting>
  <conditionalFormatting sqref="D47:E47">
    <cfRule type="expression" dxfId="74" priority="11" stopIfTrue="1">
      <formula>$P$29=""</formula>
    </cfRule>
  </conditionalFormatting>
  <conditionalFormatting sqref="D44">
    <cfRule type="expression" dxfId="73" priority="5" stopIfTrue="1">
      <formula>$P$32=""</formula>
    </cfRule>
  </conditionalFormatting>
  <conditionalFormatting sqref="D45">
    <cfRule type="expression" dxfId="72" priority="4" stopIfTrue="1">
      <formula>$P$33=""</formula>
    </cfRule>
  </conditionalFormatting>
  <conditionalFormatting sqref="D46">
    <cfRule type="expression" dxfId="71" priority="1" stopIfTrue="1">
      <formula>$P$34=""</formula>
    </cfRule>
    <cfRule type="expression" dxfId="70" priority="10" stopIfTrue="1">
      <formula>IF(AND(OR($D$28="Yes",$D$28=""),D46=""),1,0)</formula>
    </cfRule>
  </conditionalFormatting>
  <conditionalFormatting sqref="D47">
    <cfRule type="expression" dxfId="69" priority="2" stopIfTrue="1">
      <formula>$P$35=""</formula>
    </cfRule>
  </conditionalFormatting>
  <conditionalFormatting sqref="D44:E44">
    <cfRule type="expression" dxfId="68" priority="6" stopIfTrue="1">
      <formula>$P$26=""</formula>
    </cfRule>
    <cfRule type="expression" dxfId="67" priority="7" stopIfTrue="1">
      <formula>IF(AND(OR($D$26="Yes",$D$26=""),D44=""),1,0)</formula>
    </cfRule>
  </conditionalFormatting>
  <conditionalFormatting sqref="D45:E45">
    <cfRule type="expression" dxfId="66" priority="8" stopIfTrue="1">
      <formula>$P$39=""</formula>
    </cfRule>
    <cfRule type="expression" dxfId="65" priority="9" stopIfTrue="1">
      <formula>IF(AND(OR($D$27="Yes",$D$27=""),D45=""),1,0)</formula>
    </cfRule>
  </conditionalFormatting>
  <conditionalFormatting sqref="D47:E47">
    <cfRule type="expression" dxfId="64" priority="12" stopIfTrue="1">
      <formula>IF(AND(OR($D$29="Yes",$D$29=""),D47=""),1,0)</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70" zoomScaleNormal="70" zoomScalePageLayoutView="55" workbookViewId="0">
      <pane ySplit="4" topLeftCell="A63" activePane="bottomLeft" state="frozen"/>
      <selection pane="bottomLeft" activeCell="C66" sqref="C66"/>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9" t="str">
        <f ca="1">OFFSET(L!$C$1,MATCH("Smelter List"&amp;ADDRESS(ROW(),COLUMN(),4),L!$A:$A,0)-1,SL,,)</f>
        <v>Link to "RMAP Conformant Smelter List"</v>
      </c>
      <c r="K2" s="440"/>
      <c r="L2" s="440"/>
      <c r="M2" s="440"/>
      <c r="N2" s="440"/>
      <c r="O2" s="440"/>
      <c r="P2" s="234"/>
      <c r="Q2" s="235"/>
      <c r="R2" s="236"/>
      <c r="S2" s="236"/>
      <c r="T2" s="236"/>
      <c r="U2" s="267"/>
      <c r="V2" s="267"/>
      <c r="W2" s="268"/>
      <c r="X2" s="267"/>
      <c r="Y2" s="267"/>
      <c r="Z2" s="267"/>
      <c r="AH2" s="176" t="s">
        <v>498</v>
      </c>
    </row>
    <row r="3" spans="1:34" s="269" customFormat="1" ht="243.95" customHeight="1">
      <c r="A3" s="204"/>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270"/>
      <c r="G3" s="442" t="str">
        <f ca="1">OFFSET(L!$C$1,MATCH("General"&amp;"Cpy",L!$A:$A,0)-1,SL,,)</f>
        <v>© 2020 Responsible Minerals Initiative. All rights reserved.</v>
      </c>
      <c r="H3" s="442"/>
      <c r="I3" s="443"/>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32"/>
      <c r="B5" s="217" t="str">
        <f>IF(LEN(A5)=0,"",INDEX('Smelter Look-up'!$A:$A,MATCH($A5,'Smelter Look-up'!$E:$E,0)))</f>
        <v/>
      </c>
      <c r="C5" s="221" t="str">
        <f>IF(LEN(A5)=0,"",INDEX('Smelter Look-up'!$C:$C,MATCH($A5,'Smelter Look-up'!$E:$E,0)))</f>
        <v/>
      </c>
      <c r="D5" s="283"/>
      <c r="E5" s="217" t="str">
        <f ca="1">IF(ISERROR($V5),"",OFFSET('Smelter Look-up'!$D$4,$V5-4,0)&amp;"")</f>
        <v/>
      </c>
      <c r="F5" s="217" t="str">
        <f ca="1">IF(ISERROR($V5),"",OFFSET('Smelter Look-up'!$E$4,$V5-4,0))</f>
        <v/>
      </c>
      <c r="G5" s="217" t="str">
        <f ca="1">IF(C5=$X$4,"Enter smelter details",IF(ISERROR($V5),"",OFFSET('Smelter Look-up'!$F$4,$V5-4,0)))</f>
        <v/>
      </c>
      <c r="H5" s="218" t="str">
        <f ca="1">IF(ISERROR($V5),"",OFFSET('Smelter Look-up'!$G$4,$V5-4,0))</f>
        <v/>
      </c>
      <c r="I5" s="219" t="str">
        <f ca="1">IF(ISERROR($V5),"",OFFSET('Smelter Look-up'!$H$4,$V5-4,0))</f>
        <v/>
      </c>
      <c r="J5" s="219" t="str">
        <f ca="1">IF(ISERROR($V5),"",OFFSET('Smelter Look-up'!$I$4,$V5-4,0))</f>
        <v/>
      </c>
      <c r="K5" s="273"/>
      <c r="L5" s="273"/>
      <c r="M5" s="273"/>
      <c r="N5" s="273"/>
      <c r="O5" s="273"/>
      <c r="P5" s="220"/>
      <c r="Q5" s="274"/>
      <c r="R5" s="217" t="str">
        <f ca="1">IF(ISERROR($V5),"",OFFSET('Smelter Look-up'!$C$4,$V5-4,0)&amp;"")</f>
        <v/>
      </c>
      <c r="S5" s="225" t="str">
        <f t="shared" ref="S5" ca="1" si="0">IF(B5="","",IF(ISERROR(MATCH($E5,CL,0)),"Unknown",INDIRECT("'C'!$A$"&amp;MATCH($E5,CL,0)+1)))</f>
        <v/>
      </c>
      <c r="T5" s="225" t="str">
        <f ca="1">IF(B5="","",IF(ISERROR(MATCH($J5,SorP!$B$1:$B$6230,0)),"",INDIRECT("'SorP'!$A$"&amp;MATCH($J5,SorP!$B$1:$B$6230,0))))</f>
        <v/>
      </c>
      <c r="U5" s="241"/>
      <c r="V5" s="275" t="e">
        <f>IF(C5="",NA(),MATCH($B5&amp;$C5,'Smelter Look-up'!$J:$J,0))</f>
        <v>#N/A</v>
      </c>
      <c r="W5" s="276"/>
      <c r="X5" s="276">
        <f t="shared" ref="X5" ca="1" si="1">IF(AND(C5="Smelter not listed",OR(LEN(D5)=0,LEN(E5)=0)),1,0)</f>
        <v>0</v>
      </c>
      <c r="Y5" s="276"/>
      <c r="Z5" s="276"/>
      <c r="AB5" s="278" t="str">
        <f t="shared" ref="AB5" si="2">B5&amp;C5</f>
        <v/>
      </c>
    </row>
    <row r="6" spans="1:34" s="277" customFormat="1" ht="20.100000000000001" customHeight="1">
      <c r="A6" s="332"/>
      <c r="B6" s="217" t="str">
        <f>IF(LEN(A6)=0,"",INDEX('Smelter Look-up'!$A:$A,MATCH($A6,'Smelter Look-up'!$E:$E,0)))</f>
        <v/>
      </c>
      <c r="C6" s="221" t="str">
        <f>IF(LEN(A6)=0,"",INDEX('Smelter Look-up'!$C:$C,MATCH($A6,'Smelter Look-up'!$E:$E,0)))</f>
        <v/>
      </c>
      <c r="D6" s="283"/>
      <c r="E6" s="217" t="str">
        <f ca="1">IF(ISERROR($V6),"",OFFSET('Smelter Look-up'!$D$4,$V6-4,0)&amp;"")</f>
        <v/>
      </c>
      <c r="F6" s="217" t="str">
        <f ca="1">IF(ISERROR($V6),"",OFFSET('Smelter Look-up'!$E$4,$V6-4,0))</f>
        <v/>
      </c>
      <c r="G6" s="217" t="str">
        <f ca="1">IF(C6=$X$4,"Enter smelter details",IF(ISERROR($V6),"",OFFSET('Smelter Look-up'!$F$4,$V6-4,0)))</f>
        <v/>
      </c>
      <c r="H6" s="218" t="str">
        <f ca="1">IF(ISERROR($V6),"",OFFSET('Smelter Look-up'!$G$4,$V6-4,0))</f>
        <v/>
      </c>
      <c r="I6" s="219" t="str">
        <f ca="1">IF(ISERROR($V6),"",OFFSET('Smelter Look-up'!$H$4,$V6-4,0))</f>
        <v/>
      </c>
      <c r="J6" s="219" t="str">
        <f ca="1">IF(ISERROR($V6),"",OFFSET('Smelter Look-up'!$I$4,$V6-4,0))</f>
        <v/>
      </c>
      <c r="K6" s="273"/>
      <c r="L6" s="273"/>
      <c r="M6" s="273"/>
      <c r="N6" s="273"/>
      <c r="O6" s="273"/>
      <c r="P6" s="220"/>
      <c r="Q6" s="274"/>
      <c r="R6" s="217" t="str">
        <f ca="1">IF(ISERROR($V6),"",OFFSET('Smelter Look-up'!$C$4,$V6-4,0)&amp;"")</f>
        <v/>
      </c>
      <c r="S6" s="225" t="str">
        <f t="shared" ref="S6:S37" ca="1" si="3">IF(B6="","",IF(ISERROR(MATCH($E6,CL,0)),"Unknown",INDIRECT("'C'!$A$"&amp;MATCH($E6,CL,0)+1)))</f>
        <v/>
      </c>
      <c r="T6" s="225" t="str">
        <f ca="1">IF(B6="","",IF(ISERROR(MATCH($J6,SorP!$B$1:$B$6230,0)),"",INDIRECT("'SorP'!$A$"&amp;MATCH($J6,SorP!$B$1:$B$6230,0))))</f>
        <v/>
      </c>
      <c r="U6" s="241"/>
      <c r="V6" s="275" t="e">
        <f>IF(C6="",NA(),MATCH($B6&amp;$C6,'Smelter Look-up'!$J:$J,0))</f>
        <v>#N/A</v>
      </c>
      <c r="W6" s="276"/>
      <c r="X6" s="276">
        <f t="shared" ref="X6:X37" ca="1" si="4">IF(AND(C6="Smelter not listed",OR(LEN(D6)=0,LEN(E6)=0)),1,0)</f>
        <v>0</v>
      </c>
      <c r="Y6" s="276"/>
      <c r="Z6" s="276"/>
      <c r="AB6" s="278" t="str">
        <f t="shared" ref="AB6:AB37" si="5">B6&amp;C6</f>
        <v/>
      </c>
    </row>
    <row r="7" spans="1:34" s="277" customFormat="1" ht="20.100000000000001" customHeight="1">
      <c r="A7" s="332"/>
      <c r="B7" s="217" t="str">
        <f>IF(LEN(A7)=0,"",INDEX('Smelter Look-up'!$A:$A,MATCH($A7,'Smelter Look-up'!$E:$E,0)))</f>
        <v/>
      </c>
      <c r="C7" s="221" t="str">
        <f>IF(LEN(A7)=0,"",INDEX('Smelter Look-up'!$C:$C,MATCH($A7,'Smelter Look-up'!$E:$E,0)))</f>
        <v/>
      </c>
      <c r="D7" s="283"/>
      <c r="E7" s="217" t="str">
        <f ca="1">IF(ISERROR($V7),"",OFFSET('Smelter Look-up'!$D$4,$V7-4,0)&amp;"")</f>
        <v/>
      </c>
      <c r="F7" s="217" t="str">
        <f ca="1">IF(ISERROR($V7),"",OFFSET('Smelter Look-up'!$E$4,$V7-4,0))</f>
        <v/>
      </c>
      <c r="G7" s="217" t="str">
        <f ca="1">IF(C7=$X$4,"Enter smelter details",IF(ISERROR($V7),"",OFFSET('Smelter Look-up'!$F$4,$V7-4,0)))</f>
        <v/>
      </c>
      <c r="H7" s="218" t="str">
        <f ca="1">IF(ISERROR($V7),"",OFFSET('Smelter Look-up'!$G$4,$V7-4,0))</f>
        <v/>
      </c>
      <c r="I7" s="219" t="str">
        <f ca="1">IF(ISERROR($V7),"",OFFSET('Smelter Look-up'!$H$4,$V7-4,0))</f>
        <v/>
      </c>
      <c r="J7" s="219" t="str">
        <f ca="1">IF(ISERROR($V7),"",OFFSET('Smelter Look-up'!$I$4,$V7-4,0))</f>
        <v/>
      </c>
      <c r="K7" s="273"/>
      <c r="L7" s="273"/>
      <c r="M7" s="273"/>
      <c r="N7" s="273"/>
      <c r="O7" s="273"/>
      <c r="P7" s="220"/>
      <c r="Q7" s="274"/>
      <c r="R7" s="217" t="str">
        <f ca="1">IF(ISERROR($V7),"",OFFSET('Smelter Look-up'!$C$4,$V7-4,0)&amp;"")</f>
        <v/>
      </c>
      <c r="S7" s="225" t="str">
        <f t="shared" ca="1" si="3"/>
        <v/>
      </c>
      <c r="T7" s="225" t="str">
        <f ca="1">IF(B7="","",IF(ISERROR(MATCH($J7,SorP!$B$1:$B$6230,0)),"",INDIRECT("'SorP'!$A$"&amp;MATCH($J7,SorP!$B$1:$B$6230,0))))</f>
        <v/>
      </c>
      <c r="U7" s="241"/>
      <c r="V7" s="275" t="e">
        <f>IF(C7="",NA(),MATCH($B7&amp;$C7,'Smelter Look-up'!$J:$J,0))</f>
        <v>#N/A</v>
      </c>
      <c r="W7" s="276"/>
      <c r="X7" s="276">
        <f t="shared" ca="1" si="4"/>
        <v>0</v>
      </c>
      <c r="Y7" s="276"/>
      <c r="Z7" s="276"/>
      <c r="AB7" s="278" t="str">
        <f t="shared" si="5"/>
        <v/>
      </c>
    </row>
    <row r="8" spans="1:34" s="277" customFormat="1" ht="20.100000000000001" customHeight="1">
      <c r="A8" s="332"/>
      <c r="B8" s="217" t="str">
        <f>IF(LEN(A8)=0,"",INDEX('Smelter Look-up'!$A:$A,MATCH($A8,'Smelter Look-up'!$E:$E,0)))</f>
        <v/>
      </c>
      <c r="C8" s="221" t="str">
        <f>IF(LEN(A8)=0,"",INDEX('Smelter Look-up'!$C:$C,MATCH($A8,'Smelter Look-up'!$E:$E,0)))</f>
        <v/>
      </c>
      <c r="D8" s="283"/>
      <c r="E8" s="217" t="str">
        <f ca="1">IF(ISERROR($V8),"",OFFSET('Smelter Look-up'!$D$4,$V8-4,0)&amp;"")</f>
        <v/>
      </c>
      <c r="F8" s="217" t="str">
        <f ca="1">IF(ISERROR($V8),"",OFFSET('Smelter Look-up'!$E$4,$V8-4,0))</f>
        <v/>
      </c>
      <c r="G8" s="217" t="str">
        <f ca="1">IF(C8=$X$4,"Enter smelter details",IF(ISERROR($V8),"",OFFSET('Smelter Look-up'!$F$4,$V8-4,0)))</f>
        <v/>
      </c>
      <c r="H8" s="218" t="str">
        <f ca="1">IF(ISERROR($V8),"",OFFSET('Smelter Look-up'!$G$4,$V8-4,0))</f>
        <v/>
      </c>
      <c r="I8" s="219" t="str">
        <f ca="1">IF(ISERROR($V8),"",OFFSET('Smelter Look-up'!$H$4,$V8-4,0))</f>
        <v/>
      </c>
      <c r="J8" s="219" t="str">
        <f ca="1">IF(ISERROR($V8),"",OFFSET('Smelter Look-up'!$I$4,$V8-4,0))</f>
        <v/>
      </c>
      <c r="K8" s="273"/>
      <c r="L8" s="273"/>
      <c r="M8" s="273"/>
      <c r="N8" s="273"/>
      <c r="O8" s="273"/>
      <c r="P8" s="220"/>
      <c r="Q8" s="274"/>
      <c r="R8" s="217" t="str">
        <f ca="1">IF(ISERROR($V8),"",OFFSET('Smelter Look-up'!$C$4,$V8-4,0)&amp;"")</f>
        <v/>
      </c>
      <c r="S8" s="225" t="str">
        <f t="shared" ca="1" si="3"/>
        <v/>
      </c>
      <c r="T8" s="225" t="str">
        <f ca="1">IF(B8="","",IF(ISERROR(MATCH($J8,SorP!$B$1:$B$6230,0)),"",INDIRECT("'SorP'!$A$"&amp;MATCH($J8,SorP!$B$1:$B$6230,0))))</f>
        <v/>
      </c>
      <c r="U8" s="241"/>
      <c r="V8" s="275" t="e">
        <f>IF(C8="",NA(),MATCH($B8&amp;$C8,'Smelter Look-up'!$J:$J,0))</f>
        <v>#N/A</v>
      </c>
      <c r="W8" s="276"/>
      <c r="X8" s="276">
        <f t="shared" ca="1" si="4"/>
        <v>0</v>
      </c>
      <c r="Y8" s="276"/>
      <c r="Z8" s="276"/>
      <c r="AB8" s="278" t="str">
        <f t="shared" si="5"/>
        <v/>
      </c>
    </row>
    <row r="9" spans="1:34" s="277" customFormat="1" ht="20.100000000000001" customHeight="1">
      <c r="A9" s="332"/>
      <c r="B9" s="217" t="str">
        <f>IF(LEN(A9)=0,"",INDEX('Smelter Look-up'!$A:$A,MATCH($A9,'Smelter Look-up'!$E:$E,0)))</f>
        <v/>
      </c>
      <c r="C9" s="221" t="str">
        <f>IF(LEN(A9)=0,"",INDEX('Smelter Look-up'!$C:$C,MATCH($A9,'Smelter Look-up'!$E:$E,0)))</f>
        <v/>
      </c>
      <c r="D9" s="283"/>
      <c r="E9" s="217" t="str">
        <f ca="1">IF(ISERROR($V9),"",OFFSET('Smelter Look-up'!$D$4,$V9-4,0)&amp;"")</f>
        <v/>
      </c>
      <c r="F9" s="217" t="str">
        <f ca="1">IF(ISERROR($V9),"",OFFSET('Smelter Look-up'!$E$4,$V9-4,0))</f>
        <v/>
      </c>
      <c r="G9" s="217" t="str">
        <f ca="1">IF(C9=$X$4,"Enter smelter details",IF(ISERROR($V9),"",OFFSET('Smelter Look-up'!$F$4,$V9-4,0)))</f>
        <v/>
      </c>
      <c r="H9" s="218" t="str">
        <f ca="1">IF(ISERROR($V9),"",OFFSET('Smelter Look-up'!$G$4,$V9-4,0))</f>
        <v/>
      </c>
      <c r="I9" s="219" t="str">
        <f ca="1">IF(ISERROR($V9),"",OFFSET('Smelter Look-up'!$H$4,$V9-4,0))</f>
        <v/>
      </c>
      <c r="J9" s="219" t="str">
        <f ca="1">IF(ISERROR($V9),"",OFFSET('Smelter Look-up'!$I$4,$V9-4,0))</f>
        <v/>
      </c>
      <c r="K9" s="273"/>
      <c r="L9" s="273"/>
      <c r="M9" s="273"/>
      <c r="N9" s="273"/>
      <c r="O9" s="273"/>
      <c r="P9" s="220"/>
      <c r="Q9" s="274"/>
      <c r="R9" s="217" t="str">
        <f ca="1">IF(ISERROR($V9),"",OFFSET('Smelter Look-up'!$C$4,$V9-4,0)&amp;"")</f>
        <v/>
      </c>
      <c r="S9" s="225" t="str">
        <f t="shared" ca="1" si="3"/>
        <v/>
      </c>
      <c r="T9" s="225" t="str">
        <f ca="1">IF(B9="","",IF(ISERROR(MATCH($J9,SorP!$B$1:$B$6230,0)),"",INDIRECT("'SorP'!$A$"&amp;MATCH($J9,SorP!$B$1:$B$6230,0))))</f>
        <v/>
      </c>
      <c r="U9" s="241"/>
      <c r="V9" s="275" t="e">
        <f>IF(C9="",NA(),MATCH($B9&amp;$C9,'Smelter Look-up'!$J:$J,0))</f>
        <v>#N/A</v>
      </c>
      <c r="W9" s="276"/>
      <c r="X9" s="276">
        <f t="shared" ca="1" si="4"/>
        <v>0</v>
      </c>
      <c r="Y9" s="276"/>
      <c r="Z9" s="276"/>
      <c r="AB9" s="278" t="str">
        <f t="shared" si="5"/>
        <v/>
      </c>
    </row>
    <row r="10" spans="1:34" s="277" customFormat="1" ht="20.100000000000001"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ca="1" si="3"/>
        <v/>
      </c>
      <c r="T10" s="225" t="str">
        <f ca="1">IF(B10="","",IF(ISERROR(MATCH($J10,SorP!$B$1:$B$6230,0)),"",INDIRECT("'SorP'!$A$"&amp;MATCH($J10,SorP!$B$1:$B$6230,0))))</f>
        <v/>
      </c>
      <c r="U10" s="241"/>
      <c r="V10" s="275" t="e">
        <f>IF(C10="",NA(),MATCH($B10&amp;$C10,'Smelter Look-up'!$J:$J,0))</f>
        <v>#N/A</v>
      </c>
      <c r="W10" s="276"/>
      <c r="X10" s="276">
        <f t="shared" ca="1" si="4"/>
        <v>0</v>
      </c>
      <c r="Y10" s="276"/>
      <c r="Z10" s="276"/>
      <c r="AB10" s="278" t="str">
        <f t="shared" si="5"/>
        <v/>
      </c>
    </row>
    <row r="11" spans="1:34" s="277" customFormat="1" ht="20.100000000000001"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3"/>
        <v/>
      </c>
      <c r="T11" s="225" t="str">
        <f ca="1">IF(B11="","",IF(ISERROR(MATCH($J11,SorP!$B$1:$B$6230,0)),"",INDIRECT("'SorP'!$A$"&amp;MATCH($J11,SorP!$B$1:$B$6230,0))))</f>
        <v/>
      </c>
      <c r="U11" s="241"/>
      <c r="V11" s="275" t="e">
        <f>IF(C11="",NA(),MATCH($B11&amp;$C11,'Smelter Look-up'!$J:$J,0))</f>
        <v>#N/A</v>
      </c>
      <c r="W11" s="276"/>
      <c r="X11" s="276">
        <f t="shared" ca="1" si="4"/>
        <v>0</v>
      </c>
      <c r="Y11" s="276"/>
      <c r="Z11" s="276"/>
      <c r="AB11" s="278" t="str">
        <f t="shared" si="5"/>
        <v/>
      </c>
    </row>
    <row r="12" spans="1:34" s="277" customFormat="1" ht="20.100000000000001"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3"/>
        <v/>
      </c>
      <c r="T12" s="225" t="str">
        <f ca="1">IF(B12="","",IF(ISERROR(MATCH($J12,SorP!$B$1:$B$6230,0)),"",INDIRECT("'SorP'!$A$"&amp;MATCH($J12,SorP!$B$1:$B$6230,0))))</f>
        <v/>
      </c>
      <c r="U12" s="241"/>
      <c r="V12" s="275" t="e">
        <f>IF(C12="",NA(),MATCH($B12&amp;$C12,'Smelter Look-up'!$J:$J,0))</f>
        <v>#N/A</v>
      </c>
      <c r="W12" s="276"/>
      <c r="X12" s="276">
        <f t="shared" ca="1" si="4"/>
        <v>0</v>
      </c>
      <c r="Y12" s="276"/>
      <c r="Z12" s="276"/>
      <c r="AB12" s="278" t="str">
        <f t="shared" si="5"/>
        <v/>
      </c>
    </row>
    <row r="13" spans="1:34" s="277" customFormat="1" ht="20.100000000000001"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3"/>
        <v/>
      </c>
      <c r="T13" s="225" t="str">
        <f ca="1">IF(B13="","",IF(ISERROR(MATCH($J13,SorP!$B$1:$B$6230,0)),"",INDIRECT("'SorP'!$A$"&amp;MATCH($J13,SorP!$B$1:$B$6230,0))))</f>
        <v/>
      </c>
      <c r="U13" s="241"/>
      <c r="V13" s="275" t="e">
        <f>IF(C13="",NA(),MATCH($B13&amp;$C13,'Smelter Look-up'!$J:$J,0))</f>
        <v>#N/A</v>
      </c>
      <c r="W13" s="276"/>
      <c r="X13" s="276">
        <f t="shared" ca="1" si="4"/>
        <v>0</v>
      </c>
      <c r="Y13" s="276"/>
      <c r="Z13" s="276"/>
      <c r="AB13" s="278" t="str">
        <f t="shared" si="5"/>
        <v/>
      </c>
    </row>
    <row r="14" spans="1:34" s="277" customFormat="1" ht="20.100000000000001"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3"/>
        <v/>
      </c>
      <c r="T14" s="225" t="str">
        <f ca="1">IF(B14="","",IF(ISERROR(MATCH($J14,SorP!$B$1:$B$6230,0)),"",INDIRECT("'SorP'!$A$"&amp;MATCH($J14,SorP!$B$1:$B$6230,0))))</f>
        <v/>
      </c>
      <c r="U14" s="241"/>
      <c r="V14" s="275" t="e">
        <f>IF(C14="",NA(),MATCH($B14&amp;$C14,'Smelter Look-up'!$J:$J,0))</f>
        <v>#N/A</v>
      </c>
      <c r="W14" s="276"/>
      <c r="X14" s="276">
        <f t="shared" ca="1" si="4"/>
        <v>0</v>
      </c>
      <c r="Y14" s="276"/>
      <c r="Z14" s="276"/>
      <c r="AB14" s="278" t="str">
        <f t="shared" si="5"/>
        <v/>
      </c>
    </row>
    <row r="15" spans="1:34" s="277" customFormat="1" ht="20.100000000000001"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3"/>
        <v/>
      </c>
      <c r="T15" s="225" t="str">
        <f ca="1">IF(B15="","",IF(ISERROR(MATCH($J15,SorP!$B$1:$B$6230,0)),"",INDIRECT("'SorP'!$A$"&amp;MATCH($J15,SorP!$B$1:$B$6230,0))))</f>
        <v/>
      </c>
      <c r="U15" s="241"/>
      <c r="V15" s="275" t="e">
        <f>IF(C15="",NA(),MATCH($B15&amp;$C15,'Smelter Look-up'!$J:$J,0))</f>
        <v>#N/A</v>
      </c>
      <c r="W15" s="276"/>
      <c r="X15" s="276">
        <f t="shared" ca="1" si="4"/>
        <v>0</v>
      </c>
      <c r="Y15" s="276"/>
      <c r="Z15" s="276"/>
      <c r="AB15" s="278" t="str">
        <f t="shared" si="5"/>
        <v/>
      </c>
    </row>
    <row r="16" spans="1:34" s="277" customFormat="1" ht="20.100000000000001"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3"/>
        <v/>
      </c>
      <c r="T16" s="225" t="str">
        <f ca="1">IF(B16="","",IF(ISERROR(MATCH($J16,SorP!$B$1:$B$6230,0)),"",INDIRECT("'SorP'!$A$"&amp;MATCH($J16,SorP!$B$1:$B$6230,0))))</f>
        <v/>
      </c>
      <c r="U16" s="241"/>
      <c r="V16" s="275" t="e">
        <f>IF(C16="",NA(),MATCH($B16&amp;$C16,'Smelter Look-up'!$J:$J,0))</f>
        <v>#N/A</v>
      </c>
      <c r="W16" s="276"/>
      <c r="X16" s="276">
        <f t="shared" ca="1" si="4"/>
        <v>0</v>
      </c>
      <c r="Y16" s="276"/>
      <c r="Z16" s="276"/>
      <c r="AB16" s="278" t="str">
        <f t="shared" si="5"/>
        <v/>
      </c>
    </row>
    <row r="17" spans="1:28" s="277" customFormat="1" ht="20.100000000000001" customHeight="1">
      <c r="A17" s="332"/>
      <c r="B17" s="217" t="str">
        <f>IF(LEN(A17)=0,"",INDEX('Smelter Look-up'!$A:$A,MATCH($A17,'Smelter Look-up'!$E:$E,0)))</f>
        <v/>
      </c>
      <c r="C17" s="221" t="str">
        <f>IF(LEN(A17)=0,"",INDEX('Smelter Look-up'!$C:$C,MATCH($A17,'Smelter Look-up'!$E:$E,0)))</f>
        <v/>
      </c>
      <c r="D17" s="283"/>
      <c r="E17" s="217" t="str">
        <f ca="1">IF(ISERROR($V17),"",OFFSET('Smelter Look-up'!$D$4,$V17-4,0)&amp;"")</f>
        <v/>
      </c>
      <c r="F17" s="217" t="str">
        <f ca="1">IF(ISERROR($V17),"",OFFSET('Smelter Look-up'!$E$4,$V17-4,0))</f>
        <v/>
      </c>
      <c r="G17" s="217" t="str">
        <f ca="1">IF(C17=$X$4,"Enter smelter details",IF(ISERROR($V17),"",OFFSET('Smelter Look-up'!$F$4,$V17-4,0)))</f>
        <v/>
      </c>
      <c r="H17" s="218" t="str">
        <f ca="1">IF(ISERROR($V17),"",OFFSET('Smelter Look-up'!$G$4,$V17-4,0))</f>
        <v/>
      </c>
      <c r="I17" s="219" t="str">
        <f ca="1">IF(ISERROR($V17),"",OFFSET('Smelter Look-up'!$H$4,$V17-4,0))</f>
        <v/>
      </c>
      <c r="J17" s="219" t="str">
        <f ca="1">IF(ISERROR($V17),"",OFFSET('Smelter Look-up'!$I$4,$V17-4,0))</f>
        <v/>
      </c>
      <c r="K17" s="273"/>
      <c r="L17" s="273"/>
      <c r="M17" s="273"/>
      <c r="N17" s="273"/>
      <c r="O17" s="273"/>
      <c r="P17" s="220"/>
      <c r="Q17" s="274"/>
      <c r="R17" s="217" t="str">
        <f ca="1">IF(ISERROR($V17),"",OFFSET('Smelter Look-up'!$C$4,$V17-4,0)&amp;"")</f>
        <v/>
      </c>
      <c r="S17" s="225" t="str">
        <f t="shared" ca="1" si="3"/>
        <v/>
      </c>
      <c r="T17" s="225" t="str">
        <f ca="1">IF(B17="","",IF(ISERROR(MATCH($J17,SorP!$B$1:$B$6230,0)),"",INDIRECT("'SorP'!$A$"&amp;MATCH($J17,SorP!$B$1:$B$6230,0))))</f>
        <v/>
      </c>
      <c r="U17" s="241"/>
      <c r="V17" s="275" t="e">
        <f>IF(C17="",NA(),MATCH($B17&amp;$C17,'Smelter Look-up'!$J:$J,0))</f>
        <v>#N/A</v>
      </c>
      <c r="W17" s="276"/>
      <c r="X17" s="276">
        <f t="shared" ca="1" si="4"/>
        <v>0</v>
      </c>
      <c r="Y17" s="276"/>
      <c r="Z17" s="276"/>
      <c r="AB17" s="278" t="str">
        <f t="shared" si="5"/>
        <v/>
      </c>
    </row>
    <row r="18" spans="1:28" s="277" customFormat="1" ht="20.100000000000001" customHeight="1">
      <c r="A18" s="216"/>
      <c r="B18" s="217" t="str">
        <f>IF(LEN(A18)=0,"",INDEX('Smelter Look-up'!$A:$A,MATCH($A18,'Smelter Look-up'!$E:$E,0)))</f>
        <v/>
      </c>
      <c r="C18" s="221" t="str">
        <f>IF(LEN(A18)=0,"",INDEX('Smelter Look-up'!$C:$C,MATCH($A18,'Smelter Look-up'!$E:$E,0)))</f>
        <v/>
      </c>
      <c r="D18" s="283"/>
      <c r="E18" s="217" t="str">
        <f ca="1">IF(ISERROR($V18),"",OFFSET('Smelter Look-up'!$D$4,$V18-4,0)&amp;"")</f>
        <v/>
      </c>
      <c r="F18" s="217" t="str">
        <f ca="1">IF(ISERROR($V18),"",OFFSET('Smelter Look-up'!$E$4,$V18-4,0))</f>
        <v/>
      </c>
      <c r="G18" s="217" t="str">
        <f ca="1">IF(C18=$X$4,"Enter smelter details",IF(ISERROR($V18),"",OFFSET('Smelter Look-up'!$F$4,$V18-4,0)))</f>
        <v/>
      </c>
      <c r="H18" s="218" t="str">
        <f ca="1">IF(ISERROR($V18),"",OFFSET('Smelter Look-up'!$G$4,$V18-4,0))</f>
        <v/>
      </c>
      <c r="I18" s="219" t="str">
        <f ca="1">IF(ISERROR($V18),"",OFFSET('Smelter Look-up'!$H$4,$V18-4,0))</f>
        <v/>
      </c>
      <c r="J18" s="219" t="str">
        <f ca="1">IF(ISERROR($V18),"",OFFSET('Smelter Look-up'!$I$4,$V18-4,0))</f>
        <v/>
      </c>
      <c r="K18" s="273"/>
      <c r="L18" s="273"/>
      <c r="M18" s="273"/>
      <c r="N18" s="273"/>
      <c r="O18" s="273"/>
      <c r="P18" s="220"/>
      <c r="Q18" s="274"/>
      <c r="R18" s="217" t="str">
        <f ca="1">IF(ISERROR($V18),"",OFFSET('Smelter Look-up'!$C$4,$V18-4,0)&amp;"")</f>
        <v/>
      </c>
      <c r="S18" s="225" t="str">
        <f t="shared" ca="1" si="3"/>
        <v/>
      </c>
      <c r="T18" s="225" t="str">
        <f ca="1">IF(B18="","",IF(ISERROR(MATCH($J18,SorP!$B$1:$B$6230,0)),"",INDIRECT("'SorP'!$A$"&amp;MATCH($J18,SorP!$B$1:$B$6230,0))))</f>
        <v/>
      </c>
      <c r="U18" s="241"/>
      <c r="V18" s="275" t="e">
        <f>IF(C18="",NA(),MATCH($B18&amp;$C18,'Smelter Look-up'!$J:$J,0))</f>
        <v>#N/A</v>
      </c>
      <c r="W18" s="276"/>
      <c r="X18" s="276">
        <f t="shared" ca="1" si="4"/>
        <v>0</v>
      </c>
      <c r="Y18" s="276"/>
      <c r="Z18" s="276"/>
      <c r="AB18" s="278" t="str">
        <f t="shared" si="5"/>
        <v/>
      </c>
    </row>
    <row r="19" spans="1:28" s="277" customFormat="1" ht="20.25">
      <c r="A19" s="216"/>
      <c r="B19" s="217" t="str">
        <f>IF(LEN(A19)=0,"",INDEX('Smelter Look-up'!$A:$A,MATCH($A19,'Smelter Look-up'!$E:$E,0)))</f>
        <v/>
      </c>
      <c r="C19" s="221" t="str">
        <f>IF(LEN(A19)=0,"",INDEX('Smelter Look-up'!$C:$C,MATCH($A19,'Smelter Look-up'!$E:$E,0)))</f>
        <v/>
      </c>
      <c r="D19" s="283"/>
      <c r="E19" s="217" t="str">
        <f ca="1">IF(ISERROR($V19),"",OFFSET('Smelter Look-up'!$D$4,$V19-4,0)&amp;"")</f>
        <v/>
      </c>
      <c r="F19" s="217" t="str">
        <f ca="1">IF(ISERROR($V19),"",OFFSET('Smelter Look-up'!$E$4,$V19-4,0))</f>
        <v/>
      </c>
      <c r="G19" s="217" t="str">
        <f ca="1">IF(C19=$X$4,"Enter smelter details",IF(ISERROR($V19),"",OFFSET('Smelter Look-up'!$F$4,$V19-4,0)))</f>
        <v/>
      </c>
      <c r="H19" s="218" t="str">
        <f ca="1">IF(ISERROR($V19),"",OFFSET('Smelter Look-up'!$G$4,$V19-4,0))</f>
        <v/>
      </c>
      <c r="I19" s="219" t="str">
        <f ca="1">IF(ISERROR($V19),"",OFFSET('Smelter Look-up'!$H$4,$V19-4,0))</f>
        <v/>
      </c>
      <c r="J19" s="219" t="str">
        <f ca="1">IF(ISERROR($V19),"",OFFSET('Smelter Look-up'!$I$4,$V19-4,0))</f>
        <v/>
      </c>
      <c r="K19" s="273"/>
      <c r="L19" s="273"/>
      <c r="M19" s="273"/>
      <c r="N19" s="273"/>
      <c r="O19" s="273"/>
      <c r="P19" s="220"/>
      <c r="Q19" s="274"/>
      <c r="R19" s="217" t="str">
        <f ca="1">IF(ISERROR($V19),"",OFFSET('Smelter Look-up'!$C$4,$V19-4,0)&amp;"")</f>
        <v/>
      </c>
      <c r="S19" s="225" t="str">
        <f t="shared" ca="1" si="3"/>
        <v/>
      </c>
      <c r="T19" s="225" t="str">
        <f ca="1">IF(B19="","",IF(ISERROR(MATCH($J19,SorP!$B$1:$B$6230,0)),"",INDIRECT("'SorP'!$A$"&amp;MATCH($J19,SorP!$B$1:$B$6230,0))))</f>
        <v/>
      </c>
      <c r="U19" s="241"/>
      <c r="V19" s="275" t="e">
        <f>IF(C19="",NA(),MATCH($B19&amp;$C19,'Smelter Look-up'!$J:$J,0))</f>
        <v>#N/A</v>
      </c>
      <c r="W19" s="276"/>
      <c r="X19" s="276">
        <f t="shared" ca="1" si="4"/>
        <v>0</v>
      </c>
      <c r="Y19" s="276"/>
      <c r="Z19" s="276"/>
      <c r="AB19" s="278" t="str">
        <f t="shared" si="5"/>
        <v/>
      </c>
    </row>
    <row r="20" spans="1:28" s="277" customFormat="1" ht="20.25">
      <c r="A20" s="216"/>
      <c r="B20" s="217" t="str">
        <f>IF(LEN(A20)=0,"",INDEX('Smelter Look-up'!$A:$A,MATCH($A20,'Smelter Look-up'!$E:$E,0)))</f>
        <v/>
      </c>
      <c r="C20" s="221" t="str">
        <f>IF(LEN(A20)=0,"",INDEX('Smelter Look-up'!$C:$C,MATCH($A20,'Smelter Look-up'!$E:$E,0)))</f>
        <v/>
      </c>
      <c r="D20" s="283"/>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19" t="str">
        <f ca="1">IF(ISERROR($V20),"",OFFSET('Smelter Look-up'!$H$4,$V20-4,0))</f>
        <v/>
      </c>
      <c r="J20" s="219" t="str">
        <f ca="1">IF(ISERROR($V20),"",OFFSET('Smelter Look-up'!$I$4,$V20-4,0))</f>
        <v/>
      </c>
      <c r="K20" s="273"/>
      <c r="L20" s="273"/>
      <c r="M20" s="273"/>
      <c r="N20" s="273"/>
      <c r="O20" s="273"/>
      <c r="P20" s="220"/>
      <c r="Q20" s="274"/>
      <c r="R20" s="217" t="str">
        <f ca="1">IF(ISERROR($V20),"",OFFSET('Smelter Look-up'!$C$4,$V20-4,0)&amp;"")</f>
        <v/>
      </c>
      <c r="S20" s="225" t="str">
        <f t="shared" ca="1" si="3"/>
        <v/>
      </c>
      <c r="T20" s="225" t="str">
        <f ca="1">IF(B20="","",IF(ISERROR(MATCH($J20,SorP!$B$1:$B$6230,0)),"",INDIRECT("'SorP'!$A$"&amp;MATCH($J20,SorP!$B$1:$B$6230,0))))</f>
        <v/>
      </c>
      <c r="U20" s="241"/>
      <c r="V20" s="275" t="e">
        <f>IF(C20="",NA(),MATCH($B20&amp;$C20,'Smelter Look-up'!$J:$J,0))</f>
        <v>#N/A</v>
      </c>
      <c r="W20" s="276"/>
      <c r="X20" s="276">
        <f t="shared" ca="1" si="4"/>
        <v>0</v>
      </c>
      <c r="Y20" s="276"/>
      <c r="Z20" s="276"/>
      <c r="AB20" s="278" t="str">
        <f t="shared" si="5"/>
        <v/>
      </c>
    </row>
    <row r="21" spans="1:28" s="277" customFormat="1" ht="20.25">
      <c r="A21" s="216"/>
      <c r="B21" s="217" t="str">
        <f>IF(LEN(A21)=0,"",INDEX('Smelter Look-up'!$A:$A,MATCH($A21,'Smelter Look-up'!$E:$E,0)))</f>
        <v/>
      </c>
      <c r="C21" s="221" t="str">
        <f>IF(LEN(A21)=0,"",INDEX('Smelter Look-up'!$C:$C,MATCH($A21,'Smelter Look-up'!$E:$E,0)))</f>
        <v/>
      </c>
      <c r="D21" s="283"/>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19" t="str">
        <f ca="1">IF(ISERROR($V21),"",OFFSET('Smelter Look-up'!$H$4,$V21-4,0))</f>
        <v/>
      </c>
      <c r="J21" s="219" t="str">
        <f ca="1">IF(ISERROR($V21),"",OFFSET('Smelter Look-up'!$I$4,$V21-4,0))</f>
        <v/>
      </c>
      <c r="K21" s="273"/>
      <c r="L21" s="273"/>
      <c r="M21" s="273"/>
      <c r="N21" s="273"/>
      <c r="O21" s="273"/>
      <c r="P21" s="220"/>
      <c r="Q21" s="274"/>
      <c r="R21" s="217" t="str">
        <f ca="1">IF(ISERROR($V21),"",OFFSET('Smelter Look-up'!$C$4,$V21-4,0)&amp;"")</f>
        <v/>
      </c>
      <c r="S21" s="225" t="str">
        <f t="shared" ca="1" si="3"/>
        <v/>
      </c>
      <c r="T21" s="225" t="str">
        <f ca="1">IF(B21="","",IF(ISERROR(MATCH($J21,SorP!$B$1:$B$6230,0)),"",INDIRECT("'SorP'!$A$"&amp;MATCH($J21,SorP!$B$1:$B$6230,0))))</f>
        <v/>
      </c>
      <c r="U21" s="241"/>
      <c r="V21" s="275" t="e">
        <f>IF(C21="",NA(),MATCH($B21&amp;$C21,'Smelter Look-up'!$J:$J,0))</f>
        <v>#N/A</v>
      </c>
      <c r="W21" s="276"/>
      <c r="X21" s="276">
        <f t="shared" ca="1" si="4"/>
        <v>0</v>
      </c>
      <c r="Y21" s="276"/>
      <c r="Z21" s="276"/>
      <c r="AB21" s="278" t="str">
        <f t="shared" si="5"/>
        <v/>
      </c>
    </row>
    <row r="22" spans="1:28" s="277" customFormat="1" ht="20.25">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3"/>
        <v/>
      </c>
      <c r="T22" s="225" t="str">
        <f ca="1">IF(B22="","",IF(ISERROR(MATCH($J22,SorP!$B$1:$B$6230,0)),"",INDIRECT("'SorP'!$A$"&amp;MATCH($J22,SorP!$B$1:$B$6230,0))))</f>
        <v/>
      </c>
      <c r="U22" s="241"/>
      <c r="V22" s="275" t="e">
        <f>IF(C22="",NA(),MATCH($B22&amp;$C22,'Smelter Look-up'!$J:$J,0))</f>
        <v>#N/A</v>
      </c>
      <c r="W22" s="276"/>
      <c r="X22" s="276">
        <f t="shared" ca="1" si="4"/>
        <v>0</v>
      </c>
      <c r="Y22" s="276"/>
      <c r="Z22" s="276"/>
      <c r="AB22" s="278" t="str">
        <f t="shared" si="5"/>
        <v/>
      </c>
    </row>
    <row r="23" spans="1:28" s="277" customFormat="1" ht="20.25">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3"/>
        <v/>
      </c>
      <c r="T23" s="225" t="str">
        <f ca="1">IF(B23="","",IF(ISERROR(MATCH($J23,SorP!$B$1:$B$6230,0)),"",INDIRECT("'SorP'!$A$"&amp;MATCH($J23,SorP!$B$1:$B$6230,0))))</f>
        <v/>
      </c>
      <c r="U23" s="241"/>
      <c r="V23" s="275" t="e">
        <f>IF(C23="",NA(),MATCH($B23&amp;$C23,'Smelter Look-up'!$J:$J,0))</f>
        <v>#N/A</v>
      </c>
      <c r="W23" s="276"/>
      <c r="X23" s="276">
        <f t="shared" ca="1" si="4"/>
        <v>0</v>
      </c>
      <c r="Y23" s="276"/>
      <c r="Z23" s="276"/>
      <c r="AB23" s="278" t="str">
        <f t="shared" si="5"/>
        <v/>
      </c>
    </row>
    <row r="24" spans="1:28" s="277" customFormat="1" ht="20.25">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3"/>
        <v/>
      </c>
      <c r="T24" s="225" t="str">
        <f ca="1">IF(B24="","",IF(ISERROR(MATCH($J24,SorP!$B$1:$B$6230,0)),"",INDIRECT("'SorP'!$A$"&amp;MATCH($J24,SorP!$B$1:$B$6230,0))))</f>
        <v/>
      </c>
      <c r="U24" s="241"/>
      <c r="V24" s="275" t="e">
        <f>IF(C24="",NA(),MATCH($B24&amp;$C24,'Smelter Look-up'!$J:$J,0))</f>
        <v>#N/A</v>
      </c>
      <c r="W24" s="276"/>
      <c r="X24" s="276">
        <f t="shared" ca="1" si="4"/>
        <v>0</v>
      </c>
      <c r="Y24" s="276"/>
      <c r="Z24" s="276"/>
      <c r="AB24" s="278" t="str">
        <f t="shared" si="5"/>
        <v/>
      </c>
    </row>
    <row r="25" spans="1:28" s="277" customFormat="1" ht="20.25">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3"/>
        <v/>
      </c>
      <c r="T25" s="225" t="str">
        <f ca="1">IF(B25="","",IF(ISERROR(MATCH($J25,SorP!$B$1:$B$6230,0)),"",INDIRECT("'SorP'!$A$"&amp;MATCH($J25,SorP!$B$1:$B$6230,0))))</f>
        <v/>
      </c>
      <c r="U25" s="241"/>
      <c r="V25" s="275" t="e">
        <f>IF(C25="",NA(),MATCH($B25&amp;$C25,'Smelter Look-up'!$J:$J,0))</f>
        <v>#N/A</v>
      </c>
      <c r="W25" s="276"/>
      <c r="X25" s="276">
        <f t="shared" ca="1" si="4"/>
        <v>0</v>
      </c>
      <c r="Y25" s="276"/>
      <c r="Z25" s="276"/>
      <c r="AB25" s="278" t="str">
        <f t="shared" si="5"/>
        <v/>
      </c>
    </row>
    <row r="26" spans="1:28" s="277" customFormat="1" ht="20.25">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3"/>
        <v/>
      </c>
      <c r="T26" s="225" t="str">
        <f ca="1">IF(B26="","",IF(ISERROR(MATCH($J26,SorP!$B$1:$B$6230,0)),"",INDIRECT("'SorP'!$A$"&amp;MATCH($J26,SorP!$B$1:$B$6230,0))))</f>
        <v/>
      </c>
      <c r="U26" s="241"/>
      <c r="V26" s="275" t="e">
        <f>IF(C26="",NA(),MATCH($B26&amp;$C26,'Smelter Look-up'!$J:$J,0))</f>
        <v>#N/A</v>
      </c>
      <c r="W26" s="276"/>
      <c r="X26" s="276">
        <f t="shared" ca="1" si="4"/>
        <v>0</v>
      </c>
      <c r="Y26" s="276"/>
      <c r="Z26" s="276"/>
      <c r="AB26" s="278" t="str">
        <f t="shared" si="5"/>
        <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3"/>
        <v/>
      </c>
      <c r="T31" s="225" t="str">
        <f ca="1">IF(B31="","",IF(ISERROR(MATCH($J31,SorP!$B$1:$B$6230,0)),"",INDIRECT("'SorP'!$A$"&amp;MATCH($J31,SorP!$B$1:$B$6230,0))))</f>
        <v/>
      </c>
      <c r="U31" s="241"/>
      <c r="V31" s="275" t="e">
        <f>IF(C31="",NA(),MATCH($B31&amp;$C31,'Smelter Look-up'!$J:$J,0))</f>
        <v>#N/A</v>
      </c>
      <c r="W31" s="276"/>
      <c r="X31" s="276">
        <f t="shared" ca="1" si="4"/>
        <v>0</v>
      </c>
      <c r="Y31" s="276"/>
      <c r="Z31" s="276"/>
      <c r="AB31" s="278" t="str">
        <f t="shared" si="5"/>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3"/>
        <v/>
      </c>
      <c r="T32" s="225" t="str">
        <f ca="1">IF(B32="","",IF(ISERROR(MATCH($J32,SorP!$B$1:$B$6230,0)),"",INDIRECT("'SorP'!$A$"&amp;MATCH($J32,SorP!$B$1:$B$6230,0))))</f>
        <v/>
      </c>
      <c r="U32" s="241"/>
      <c r="V32" s="275" t="e">
        <f>IF(C32="",NA(),MATCH($B32&amp;$C32,'Smelter Look-up'!$J:$J,0))</f>
        <v>#N/A</v>
      </c>
      <c r="W32" s="276"/>
      <c r="X32" s="276">
        <f t="shared" ca="1" si="4"/>
        <v>0</v>
      </c>
      <c r="Y32" s="276"/>
      <c r="Z32" s="276"/>
      <c r="AB32" s="278" t="str">
        <f t="shared" si="5"/>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3"/>
        <v/>
      </c>
      <c r="T33" s="225" t="str">
        <f ca="1">IF(B33="","",IF(ISERROR(MATCH($J33,SorP!$B$1:$B$6230,0)),"",INDIRECT("'SorP'!$A$"&amp;MATCH($J33,SorP!$B$1:$B$6230,0))))</f>
        <v/>
      </c>
      <c r="U33" s="241"/>
      <c r="V33" s="275" t="e">
        <f>IF(C33="",NA(),MATCH($B33&amp;$C33,'Smelter Look-up'!$J:$J,0))</f>
        <v>#N/A</v>
      </c>
      <c r="W33" s="276"/>
      <c r="X33" s="276">
        <f t="shared" ca="1" si="4"/>
        <v>0</v>
      </c>
      <c r="Y33" s="276"/>
      <c r="Z33" s="276"/>
      <c r="AB33" s="278" t="str">
        <f t="shared" si="5"/>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3"/>
        <v/>
      </c>
      <c r="T34" s="225" t="str">
        <f ca="1">IF(B34="","",IF(ISERROR(MATCH($J34,SorP!$B$1:$B$6230,0)),"",INDIRECT("'SorP'!$A$"&amp;MATCH($J34,SorP!$B$1:$B$6230,0))))</f>
        <v/>
      </c>
      <c r="U34" s="241"/>
      <c r="V34" s="275" t="e">
        <f>IF(C34="",NA(),MATCH($B34&amp;$C34,'Smelter Look-up'!$J:$J,0))</f>
        <v>#N/A</v>
      </c>
      <c r="W34" s="276"/>
      <c r="X34" s="276">
        <f t="shared" ca="1" si="4"/>
        <v>0</v>
      </c>
      <c r="Y34" s="276"/>
      <c r="Z34" s="276"/>
      <c r="AB34" s="278" t="str">
        <f t="shared" si="5"/>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25">
      <c r="A63" s="216" t="s">
        <v>824</v>
      </c>
      <c r="B63" s="217" t="s">
        <v>1154</v>
      </c>
      <c r="C63" s="221" t="s">
        <v>15516</v>
      </c>
      <c r="D63" s="283"/>
      <c r="E63" s="217" t="s">
        <v>1128</v>
      </c>
      <c r="F63" s="217" t="s">
        <v>824</v>
      </c>
      <c r="G63" s="217" t="s">
        <v>13577</v>
      </c>
      <c r="H63" s="218">
        <v>0</v>
      </c>
      <c r="I63" s="219" t="s">
        <v>1832</v>
      </c>
      <c r="J63" s="219" t="s">
        <v>6250</v>
      </c>
      <c r="K63" s="273" t="s">
        <v>15517</v>
      </c>
      <c r="L63" s="273" t="s">
        <v>15518</v>
      </c>
      <c r="M63" s="273" t="s">
        <v>15519</v>
      </c>
      <c r="N63" s="273" t="s">
        <v>15520</v>
      </c>
      <c r="O63" s="273" t="s">
        <v>1128</v>
      </c>
      <c r="P63" s="220" t="s">
        <v>499</v>
      </c>
      <c r="Q63" s="274" t="s">
        <v>12942</v>
      </c>
      <c r="R63" s="217" t="str">
        <f ca="1">IF(ISERROR($V63),"",OFFSET('Smelter Look-up'!$C$4,$V63-4,0)&amp;"")</f>
        <v/>
      </c>
      <c r="S63" s="225" t="str">
        <f t="shared" ca="1" si="6"/>
        <v>ID</v>
      </c>
      <c r="T63" s="225" t="str">
        <f ca="1">IF(B63="","",IF(ISERROR(MATCH($J63,SorP!$B$1:$B$6230,0)),"",INDIRECT("'SorP'!$A$"&amp;MATCH($J63,SorP!$B$1:$B$6230,0))))</f>
        <v>ID-RI</v>
      </c>
      <c r="U63" s="241"/>
      <c r="V63" s="275" t="e">
        <f>IF(C63="",NA(),MATCH($B63&amp;$C63,'Smelter Look-up'!$J:$J,0))</f>
        <v>#N/A</v>
      </c>
      <c r="W63" s="276"/>
      <c r="X63" s="276">
        <f t="shared" si="7"/>
        <v>0</v>
      </c>
      <c r="Y63" s="276"/>
      <c r="Z63" s="276"/>
      <c r="AB63" s="278" t="str">
        <f t="shared" si="8"/>
        <v>TinPT Timah (Persero) Tbk Kundur</v>
      </c>
    </row>
    <row r="64" spans="1:28" s="277" customFormat="1" ht="25.5">
      <c r="A64" s="216" t="s">
        <v>695</v>
      </c>
      <c r="B64" s="217" t="s">
        <v>1153</v>
      </c>
      <c r="C64" s="221" t="s">
        <v>2647</v>
      </c>
      <c r="D64" s="283"/>
      <c r="E64" s="217" t="s">
        <v>1123</v>
      </c>
      <c r="F64" s="217" t="s">
        <v>695</v>
      </c>
      <c r="G64" s="217" t="s">
        <v>13577</v>
      </c>
      <c r="H64" s="218">
        <v>0</v>
      </c>
      <c r="I64" s="219" t="s">
        <v>1618</v>
      </c>
      <c r="J64" s="219" t="s">
        <v>15521</v>
      </c>
      <c r="K64" s="273" t="s">
        <v>15522</v>
      </c>
      <c r="L64" s="273" t="s">
        <v>15523</v>
      </c>
      <c r="M64" s="273" t="s">
        <v>15519</v>
      </c>
      <c r="N64" s="273" t="s">
        <v>56</v>
      </c>
      <c r="O64" s="273" t="s">
        <v>1123</v>
      </c>
      <c r="P64" s="220" t="s">
        <v>499</v>
      </c>
      <c r="Q64" s="274" t="s">
        <v>12942</v>
      </c>
      <c r="R64" s="217" t="str">
        <f ca="1">IF(ISERROR($V64),"",OFFSET('Smelter Look-up'!$C$4,$V64-4,0)&amp;"")</f>
        <v>Heraeus Metals Hong Kong Ltd.</v>
      </c>
      <c r="S64" s="225" t="str">
        <f t="shared" ca="1" si="6"/>
        <v>CN</v>
      </c>
      <c r="T64" s="225" t="str">
        <f ca="1">IF(B64="","",IF(ISERROR(MATCH($J64,SorP!$B$1:$B$6230,0)),"",INDIRECT("'SorP'!$A$"&amp;MATCH($J64,SorP!$B$1:$B$6230,0))))</f>
        <v/>
      </c>
      <c r="U64" s="241"/>
      <c r="V64" s="275">
        <f>IF(C64="",NA(),MATCH($B64&amp;$C64,'Smelter Look-up'!$J:$J,0))</f>
        <v>97</v>
      </c>
      <c r="W64" s="276"/>
      <c r="X64" s="276">
        <f t="shared" si="7"/>
        <v>0</v>
      </c>
      <c r="Y64" s="276"/>
      <c r="Z64" s="276"/>
      <c r="AB64" s="278" t="str">
        <f t="shared" si="8"/>
        <v>GoldHeraeus Metals Hong Kong Ltd.</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97" type="noConversion"/>
  <conditionalFormatting sqref="B586:B2504">
    <cfRule type="expression" dxfId="63" priority="38" stopIfTrue="1">
      <formula>IF(B586="",TRUE)</formula>
    </cfRule>
    <cfRule type="expression" dxfId="62" priority="49" stopIfTrue="1">
      <formula>IF(AND(COUNTIF(MetalSmelter,B586&amp;C586)=0,LEN(C586)&gt;0),TRUE,FALSE)</formula>
    </cfRule>
  </conditionalFormatting>
  <conditionalFormatting sqref="D586:D2504">
    <cfRule type="expression" dxfId="61" priority="32" stopIfTrue="1">
      <formula>IF(AND(LEN($C586)&gt;0,($C586&lt;&gt;"Smelter Not Listed")),1,0)</formula>
    </cfRule>
    <cfRule type="expression" dxfId="60" priority="57" stopIfTrue="1">
      <formula>IF(AND(D586="",$C586=$X$4),TRUE)</formula>
    </cfRule>
    <cfRule type="expression" dxfId="59" priority="58" stopIfTrue="1">
      <formula>IF(FIND("!",D586),TRUE)</formula>
    </cfRule>
  </conditionalFormatting>
  <conditionalFormatting sqref="G586:G2504">
    <cfRule type="expression" dxfId="58" priority="59" stopIfTrue="1">
      <formula>IF(FIND("Enter smelter details",G586),TRUE)</formula>
    </cfRule>
  </conditionalFormatting>
  <conditionalFormatting sqref="R586:R2505 E586:E2504">
    <cfRule type="expression" dxfId="57" priority="45" stopIfTrue="1">
      <formula>IF(AND(E586="",$C586=$X$4),TRUE)</formula>
    </cfRule>
    <cfRule type="expression" dxfId="56" priority="46" stopIfTrue="1">
      <formula>IF(FIND("!",E586),TRUE)</formula>
    </cfRule>
  </conditionalFormatting>
  <conditionalFormatting sqref="F586:F2504">
    <cfRule type="expression" dxfId="55" priority="36" stopIfTrue="1">
      <formula>IF(AND(LEN($A586)&gt;0,$A586&lt;&gt;$F586),TRUE,FALSE)</formula>
    </cfRule>
  </conditionalFormatting>
  <conditionalFormatting sqref="C586:C2504">
    <cfRule type="expression" dxfId="54" priority="35" stopIfTrue="1">
      <formula>IF(AND(B586&lt;&gt;"",C586=""),TRUE)</formula>
    </cfRule>
  </conditionalFormatting>
  <conditionalFormatting sqref="B21:B585 B5:B19">
    <cfRule type="expression" dxfId="53" priority="14" stopIfTrue="1">
      <formula>IF(B5="",TRUE)</formula>
    </cfRule>
    <cfRule type="expression" dxfId="52" priority="17" stopIfTrue="1">
      <formula>IF(AND(COUNTIF(MetalSmelter,B5&amp;C5)=0,LEN(C5)&gt;0),TRUE,FALSE)</formula>
    </cfRule>
  </conditionalFormatting>
  <conditionalFormatting sqref="D5:D19 D21:D585">
    <cfRule type="expression" dxfId="51" priority="11" stopIfTrue="1">
      <formula>IF(AND(LEN($C5)&gt;0,($C5&lt;&gt;"Smelter Not Listed")),1,0)</formula>
    </cfRule>
    <cfRule type="expression" dxfId="50" priority="18" stopIfTrue="1">
      <formula>IF(AND(D5="",$C5=$X$4),TRUE)</formula>
    </cfRule>
    <cfRule type="expression" dxfId="49" priority="19" stopIfTrue="1">
      <formula>IF(FIND("!",D5),TRUE)</formula>
    </cfRule>
  </conditionalFormatting>
  <conditionalFormatting sqref="G5:G19 G21:G585">
    <cfRule type="expression" dxfId="48" priority="20" stopIfTrue="1">
      <formula>IF(FIND("Enter smelter details",G5),TRUE)</formula>
    </cfRule>
  </conditionalFormatting>
  <conditionalFormatting sqref="R5:R585 E5:E19 E21:E585">
    <cfRule type="expression" dxfId="47" priority="15" stopIfTrue="1">
      <formula>IF(AND(E5="",$C5=$X$4),TRUE)</formula>
    </cfRule>
    <cfRule type="expression" dxfId="46" priority="16" stopIfTrue="1">
      <formula>IF(FIND("!",E5),TRUE)</formula>
    </cfRule>
  </conditionalFormatting>
  <conditionalFormatting sqref="F5:F19 F21:F585">
    <cfRule type="expression" dxfId="45" priority="13" stopIfTrue="1">
      <formula>IF(AND(LEN($A5)&gt;0,$A5&lt;&gt;$F5),TRUE,FALSE)</formula>
    </cfRule>
  </conditionalFormatting>
  <conditionalFormatting sqref="C21:C585 C5:C19">
    <cfRule type="expression" dxfId="44" priority="12" stopIfTrue="1">
      <formula>IF(AND(B5&lt;&gt;"",C5=""),TRUE)</formula>
    </cfRule>
  </conditionalFormatting>
  <conditionalFormatting sqref="B20">
    <cfRule type="expression" dxfId="43" priority="4" stopIfTrue="1">
      <formula>IF(B20="",TRUE)</formula>
    </cfRule>
    <cfRule type="expression" dxfId="42" priority="7" stopIfTrue="1">
      <formula>IF(AND(COUNTIF(MetalSmelter,B20&amp;C20)=0,LEN(C20)&gt;0),TRUE,FALSE)</formula>
    </cfRule>
  </conditionalFormatting>
  <conditionalFormatting sqref="D20">
    <cfRule type="expression" dxfId="41" priority="1" stopIfTrue="1">
      <formula>IF(AND(LEN($C20)&gt;0,($C20&lt;&gt;"Smelter Not Listed")),1,0)</formula>
    </cfRule>
    <cfRule type="expression" dxfId="40" priority="8" stopIfTrue="1">
      <formula>IF(AND(D20="",$C20=$X$4),TRUE)</formula>
    </cfRule>
    <cfRule type="expression" dxfId="39" priority="9" stopIfTrue="1">
      <formula>IF(FIND("!",D20),TRUE)</formula>
    </cfRule>
  </conditionalFormatting>
  <conditionalFormatting sqref="G20">
    <cfRule type="expression" dxfId="38" priority="10" stopIfTrue="1">
      <formula>IF(FIND("Enter smelter details",G20),TRUE)</formula>
    </cfRule>
  </conditionalFormatting>
  <conditionalFormatting sqref="E20">
    <cfRule type="expression" dxfId="37" priority="5" stopIfTrue="1">
      <formula>IF(AND(E20="",$C20=$X$4),TRUE)</formula>
    </cfRule>
    <cfRule type="expression" dxfId="36" priority="6" stopIfTrue="1">
      <formula>IF(FIND("!",E20),TRUE)</formula>
    </cfRule>
  </conditionalFormatting>
  <conditionalFormatting sqref="F20">
    <cfRule type="expression" dxfId="35" priority="3" stopIfTrue="1">
      <formula>IF(AND(LEN($A20)&gt;0,$A20&lt;&gt;$F20),TRUE,FALSE)</formula>
    </cfRule>
  </conditionalFormatting>
  <conditionalFormatting sqref="C20">
    <cfRule type="expression" dxfId="34" priority="2" stopIfTrue="1">
      <formula>IF(AND(B20&lt;&gt;"",C20=""),TRUE)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4" t="str">
        <f ca="1">OFFSET(L!$C$1,MATCH("Checker"&amp;ADDRESS(ROW(),COLUMN(),4),L!$A:$A,0)-1,SL,,)</f>
        <v>To ensure all required fields have been populated before submitting to your customers review form for any line items highlighted in red</v>
      </c>
      <c r="B1" s="444"/>
      <c r="C1" s="444"/>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 xml:space="preserve">Cirocomm Technology Corp.     </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DESIGN AND MANUFACTURE OF GPS ANTENNA、FILTER AND MODULE</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poshiung.Hsu</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poshiung.Hsu@cirocomm.com.tw</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886-6-6992961#514</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 xml:space="preserve">kevin kuo </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kevinkuo@cirocomm.com.tw</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44013</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No</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IF(H65=0,"","Click here to provide smelter information")</f>
        <v/>
      </c>
      <c r="E65" s="84" t="s">
        <v>1330</v>
      </c>
      <c r="F65" s="107">
        <f>F24</f>
        <v>0</v>
      </c>
      <c r="G65" s="81">
        <f>IF(AND(COUNTIF(SmelterIdetifiedForMetal,"Tantalum")&gt;0,COUNTIF('Smelter List'!AB$5:AB$2504,"Tantalum?*")&gt;0),0,1)</f>
        <v>1</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1</v>
      </c>
      <c r="G66" s="81">
        <f>IF(AND(COUNTIF(SmelterIdetifiedForMetal,"Tin")&gt;0,COUNTIF('Smelter List'!AB$5:AB$2504,"Tin?*")&gt;0),0,1)</f>
        <v>0</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1</v>
      </c>
      <c r="G67" s="81">
        <f>IF(AND(COUNTIF(SmelterIdetifiedForMetal,"Gold")&gt;0,COUNTIF('Smelter List'!AB$5:AB$2504,"Gold?*")&gt;0),0,1)</f>
        <v>0</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0</v>
      </c>
      <c r="G68" s="81">
        <f>IF(AND(COUNTIF(SmelterIdetifiedForMetal,"Tungsten")&gt;0,COUNTIF('Smelter List'!AB$5:AB$2504,"Tungsten?*")&gt;0),0,1)</f>
        <v>1</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7" type="noConversion"/>
  <conditionalFormatting sqref="D56">
    <cfRule type="expression" dxfId="33" priority="358" stopIfTrue="1">
      <formula>$H$56=0</formula>
    </cfRule>
  </conditionalFormatting>
  <conditionalFormatting sqref="B66">
    <cfRule type="expression" dxfId="32" priority="39" stopIfTrue="1">
      <formula>IF(F66=0,TRUE)</formula>
    </cfRule>
  </conditionalFormatting>
  <conditionalFormatting sqref="B67">
    <cfRule type="expression" dxfId="31" priority="35" stopIfTrue="1">
      <formula>IF(F67=0,TRUE)</formula>
    </cfRule>
  </conditionalFormatting>
  <conditionalFormatting sqref="B68:B69">
    <cfRule type="expression" dxfId="30" priority="31" stopIfTrue="1">
      <formula>IF(F68=0,TRUE)</formula>
    </cfRule>
  </conditionalFormatting>
  <conditionalFormatting sqref="C69">
    <cfRule type="expression" dxfId="29" priority="13" stopIfTrue="1">
      <formula>C69="Not Required"</formula>
    </cfRule>
    <cfRule type="expression" dxfId="28" priority="21" stopIfTrue="1">
      <formula>OR(C69="Complete",C69="填写",C69="記入",C69="완료",C69="Complétez",C69="Concluído",C69="Vollständig",C69="Completare",C69="Doldurun")</formula>
    </cfRule>
  </conditionalFormatting>
  <conditionalFormatting sqref="A69">
    <cfRule type="expression" dxfId="27" priority="14" stopIfTrue="1">
      <formula>C69="Not Required"</formula>
    </cfRule>
    <cfRule type="expression" dxfId="2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25" priority="347" stopIfTrue="1">
      <formula>$F4=0</formula>
    </cfRule>
    <cfRule type="expression" dxfId="24" priority="348" stopIfTrue="1">
      <formula>$H4=0</formula>
    </cfRule>
    <cfRule type="expression" dxfId="23" priority="349" stopIfTrue="1">
      <formula>$H4=1</formula>
    </cfRule>
  </conditionalFormatting>
  <conditionalFormatting sqref="C69 A69">
    <cfRule type="expression" dxfId="22" priority="11" stopIfTrue="1">
      <formula>IF(AND($F$69=1,$G$69=1),TRUE,FALSE)</formula>
    </cfRule>
  </conditionalFormatting>
  <conditionalFormatting sqref="A29:A32">
    <cfRule type="expression" dxfId="21" priority="2" stopIfTrue="1">
      <formula>$F29=0</formula>
    </cfRule>
    <cfRule type="expression" dxfId="20" priority="3" stopIfTrue="1">
      <formula>$H29=0</formula>
    </cfRule>
    <cfRule type="expression" dxfId="19" priority="4" stopIfTrue="1">
      <formula>$H29=1</formula>
    </cfRule>
  </conditionalFormatting>
  <conditionalFormatting sqref="B65">
    <cfRule type="expression" dxfId="18" priority="1" stopIfTrue="1">
      <formula>IF(F65=0,TRUE)</formula>
    </cfRule>
  </conditionalFormatting>
  <conditionalFormatting sqref="A5:A13">
    <cfRule type="expression" dxfId="17" priority="49" stopIfTrue="1">
      <formula>$F5=0</formula>
    </cfRule>
    <cfRule type="expression" dxfId="16" priority="50" stopIfTrue="1">
      <formula>AND($F5=1,$G5=0)</formula>
    </cfRule>
    <cfRule type="expression" dxfId="1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6" t="str">
        <f ca="1">OFFSET(L!$C$1,MATCH("Product List"&amp;ADDRESS(ROW(),COLUMN(),4),L!$A:$A,0)-1,SL,,)</f>
        <v>Completion required only if reporting level "Product (or List of Products)" selected on the 'Declaration' worksheet.</v>
      </c>
      <c r="B1" s="447"/>
      <c r="C1" s="447"/>
      <c r="D1" s="447"/>
      <c r="E1" s="145"/>
    </row>
    <row r="2" spans="1:6">
      <c r="A2" s="29"/>
      <c r="B2" s="147"/>
      <c r="C2" s="147"/>
      <c r="D2"/>
      <c r="E2" s="30"/>
    </row>
    <row r="3" spans="1:6">
      <c r="A3" s="29"/>
      <c r="B3" s="147"/>
      <c r="C3" s="147"/>
      <c r="D3" s="147"/>
      <c r="E3" s="30"/>
    </row>
    <row r="4" spans="1:6" ht="15.75" customHeight="1">
      <c r="A4" s="29"/>
      <c r="B4" s="445" t="s">
        <v>921</v>
      </c>
      <c r="C4" s="445"/>
      <c r="D4" s="445"/>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8" t="str">
        <f ca="1">OFFSET(L!$C$1,MATCH("General"&amp;"Cpy",L!$A:$A,0)-1,SL,,)</f>
        <v>© 2020 Responsible Minerals Initiative. All rights reserved.</v>
      </c>
      <c r="C1001" s="448"/>
      <c r="D1001" s="448"/>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phoneticPr fontId="97"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7" type="noConversion"/>
  <conditionalFormatting sqref="J295:J352 J355:J483 J5:J292 J486:J591">
    <cfRule type="cellIs" dxfId="14" priority="21" stopIfTrue="1" operator="equal">
      <formula>"Yes"</formula>
    </cfRule>
  </conditionalFormatting>
  <conditionalFormatting sqref="K5">
    <cfRule type="cellIs" dxfId="13" priority="5" stopIfTrue="1" operator="equal">
      <formula>"Yes"</formula>
    </cfRule>
  </conditionalFormatting>
  <conditionalFormatting sqref="J293:J294">
    <cfRule type="cellIs" dxfId="12" priority="3" stopIfTrue="1" operator="equal">
      <formula>"Yes"</formula>
    </cfRule>
  </conditionalFormatting>
  <conditionalFormatting sqref="J353:J354">
    <cfRule type="cellIs" dxfId="11" priority="2" stopIfTrue="1" operator="equal">
      <formula>"Yes"</formula>
    </cfRule>
  </conditionalFormatting>
  <conditionalFormatting sqref="J484:J485">
    <cfRule type="cellIs" dxfId="1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84.75">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45">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30">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28.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14.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16.7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26">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399">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10">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05">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94.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0">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70.5">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6">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42.75">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28.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42">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71">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56.75">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27.75">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78.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42.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71">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42.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14">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28.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42">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56.75">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28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70.7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199.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47.25">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1.5">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0">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28.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28.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1.5">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28.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28.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42.75">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28.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57">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42.75">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42.75">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42.75">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28.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71.2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7"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97"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9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terms/"/>
    <ds:schemaRef ds:uri="060324a1-f66f-4c36-a8ec-beadbf2f4219"/>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許博雄</cp:lastModifiedBy>
  <cp:lastPrinted>2015-04-21T20:47:43Z</cp:lastPrinted>
  <dcterms:created xsi:type="dcterms:W3CDTF">2010-06-21T21:00:23Z</dcterms:created>
  <dcterms:modified xsi:type="dcterms:W3CDTF">2020-07-01T03:34:34Z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