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K:\ProcEng\sengland\PCM\CMRT\Global CMRT\"/>
    </mc:Choice>
  </mc:AlternateContent>
  <workbookProtection workbookAlgorithmName="SHA-512" workbookHashValue="FDm0YVlRHuvuR7ASQJ7z4n/c8bI9AuIKyHf8ujFWtWUkp7+Xm6/f03FyvVRZ4GAgW7GEWKWltQSnVHknWKh2BA==" workbookSaltValue="EX+GsGCD48ANiKbfOQgmtw==" workbookSpinCount="100000" lockStructure="1"/>
  <bookViews>
    <workbookView xWindow="0" yWindow="0" windowWidth="28800" windowHeight="12300" tabRatio="789" activeTab="3"/>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62913"/>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5" i="5" l="1"/>
  <c r="V6" i="5"/>
  <c r="H6" i="5" s="1"/>
  <c r="AB6" i="5"/>
  <c r="V5" i="5" l="1"/>
  <c r="H5" i="5" s="1"/>
  <c r="E6" i="5"/>
  <c r="R6" i="5"/>
  <c r="J6" i="5"/>
  <c r="G6" i="5"/>
  <c r="F6" i="5"/>
  <c r="I6" i="5"/>
  <c r="I5" i="5"/>
  <c r="S6" i="5"/>
  <c r="T6" i="5"/>
  <c r="X6" i="5" l="1"/>
  <c r="J5" i="5"/>
  <c r="E5" i="5"/>
  <c r="X5" i="5" s="1"/>
  <c r="F5" i="5"/>
  <c r="G5" i="5"/>
  <c r="R5" i="5"/>
  <c r="S5" i="5"/>
  <c r="T5" i="5"/>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S120" i="5"/>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T76" i="5"/>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R86" i="5" l="1"/>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E171" i="5"/>
  <c r="X171" i="5" s="1"/>
  <c r="AB196" i="5"/>
  <c r="G218"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R97" i="5"/>
  <c r="E97" i="5"/>
  <c r="X97" i="5" s="1"/>
  <c r="H79" i="5"/>
  <c r="F79" i="5"/>
  <c r="E79" i="5"/>
  <c r="X79" i="5" s="1"/>
  <c r="I79" i="5"/>
  <c r="G79" i="5"/>
  <c r="H127" i="5"/>
  <c r="R127" i="5"/>
  <c r="J127" i="5"/>
  <c r="I127" i="5"/>
  <c r="E127" i="5"/>
  <c r="X127" i="5" s="1"/>
  <c r="T144" i="5"/>
  <c r="S144" i="5"/>
  <c r="T320" i="5"/>
  <c r="S320" i="5"/>
  <c r="V330" i="5"/>
  <c r="G330" i="5" s="1"/>
  <c r="T895" i="5"/>
  <c r="AB895" i="5"/>
  <c r="S895" i="5"/>
  <c r="AB1863" i="5"/>
  <c r="T1863" i="5"/>
  <c r="S1863"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G74" i="5"/>
  <c r="G86" i="5"/>
  <c r="J107" i="5"/>
  <c r="S178" i="5"/>
  <c r="AB178" i="5"/>
  <c r="T178" i="5"/>
  <c r="V215" i="5"/>
  <c r="G215" i="5" s="1"/>
  <c r="R299" i="5"/>
  <c r="J299" i="5"/>
  <c r="T312" i="5"/>
  <c r="S312" i="5"/>
  <c r="T379" i="5"/>
  <c r="S379" i="5"/>
  <c r="E392" i="5"/>
  <c r="X392" i="5" s="1"/>
  <c r="I392" i="5"/>
  <c r="H392" i="5"/>
  <c r="S110" i="5"/>
  <c r="AB110"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73" i="5"/>
  <c r="E73" i="5"/>
  <c r="X73" i="5" s="1"/>
  <c r="I73" i="5"/>
  <c r="F109" i="5"/>
  <c r="R109" i="5"/>
  <c r="G133" i="5"/>
  <c r="R133" i="5"/>
  <c r="F133" i="5"/>
  <c r="F169" i="5"/>
  <c r="R169" i="5"/>
  <c r="G169" i="5"/>
  <c r="E169" i="5"/>
  <c r="X169" i="5" s="1"/>
  <c r="H195" i="5"/>
  <c r="F195" i="5"/>
  <c r="E195" i="5"/>
  <c r="X195" i="5" s="1"/>
  <c r="R195" i="5"/>
  <c r="I195" i="5"/>
  <c r="J195" i="5"/>
  <c r="G195" i="5"/>
  <c r="H139" i="5"/>
  <c r="R139" i="5"/>
  <c r="J139" i="5"/>
  <c r="I139" i="5"/>
  <c r="E139" i="5"/>
  <c r="X139" i="5" s="1"/>
  <c r="F139" i="5"/>
  <c r="E193" i="5"/>
  <c r="X193" i="5" s="1"/>
  <c r="F193" i="5"/>
  <c r="H227" i="5"/>
  <c r="E227" i="5"/>
  <c r="X227" i="5" s="1"/>
  <c r="R227" i="5"/>
  <c r="F227" i="5"/>
  <c r="J227" i="5"/>
  <c r="I227"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83" i="5"/>
  <c r="R83" i="5"/>
  <c r="J83" i="5"/>
  <c r="I83" i="5"/>
  <c r="F83" i="5"/>
  <c r="E83" i="5"/>
  <c r="X83" i="5" s="1"/>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F113" i="5"/>
  <c r="E113" i="5"/>
  <c r="X113" i="5" s="1"/>
  <c r="R113" i="5"/>
  <c r="H155" i="5"/>
  <c r="R155" i="5"/>
  <c r="J155" i="5"/>
  <c r="I155" i="5"/>
  <c r="E155" i="5"/>
  <c r="X155" i="5" s="1"/>
  <c r="F155" i="5"/>
  <c r="H203" i="5"/>
  <c r="R203" i="5"/>
  <c r="J203" i="5"/>
  <c r="I203" i="5"/>
  <c r="E203" i="5"/>
  <c r="X203" i="5" s="1"/>
  <c r="F203" i="5"/>
  <c r="R249" i="5"/>
  <c r="E249" i="5"/>
  <c r="X249" i="5" s="1"/>
  <c r="F249"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S72" i="5"/>
  <c r="E81" i="5"/>
  <c r="X81" i="5" s="1"/>
  <c r="I82" i="5"/>
  <c r="S88"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H114" i="5"/>
  <c r="F118" i="5"/>
  <c r="R118" i="5"/>
  <c r="J118"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S109" i="5"/>
  <c r="AB109" i="5"/>
  <c r="E117" i="5"/>
  <c r="X117" i="5" s="1"/>
  <c r="J121" i="5"/>
  <c r="I121" i="5"/>
  <c r="H121" i="5"/>
  <c r="S141" i="5"/>
  <c r="AB141" i="5"/>
  <c r="H146" i="5"/>
  <c r="F150" i="5"/>
  <c r="R150" i="5"/>
  <c r="J150"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X527"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C8" i="5" l="1"/>
  <c r="C12" i="5"/>
  <c r="C16" i="5"/>
  <c r="C20" i="5"/>
  <c r="C24" i="5"/>
  <c r="C28" i="5"/>
  <c r="C32" i="5"/>
  <c r="C36" i="5"/>
  <c r="C40" i="5"/>
  <c r="C44" i="5"/>
  <c r="C48" i="5"/>
  <c r="C52" i="5"/>
  <c r="C56" i="5"/>
  <c r="C60" i="5"/>
  <c r="C64" i="5"/>
  <c r="B9" i="5"/>
  <c r="B13" i="5"/>
  <c r="B17" i="5"/>
  <c r="B21" i="5"/>
  <c r="B25" i="5"/>
  <c r="B29" i="5"/>
  <c r="B33" i="5"/>
  <c r="B37" i="5"/>
  <c r="B41" i="5"/>
  <c r="B49" i="5"/>
  <c r="B53" i="5"/>
  <c r="B57" i="5"/>
  <c r="B61" i="5"/>
  <c r="B65" i="5"/>
  <c r="B16" i="5"/>
  <c r="B28" i="5"/>
  <c r="B36" i="5"/>
  <c r="B52" i="5"/>
  <c r="B64" i="5"/>
  <c r="C9" i="5"/>
  <c r="C13" i="5"/>
  <c r="C17" i="5"/>
  <c r="C21" i="5"/>
  <c r="C25" i="5"/>
  <c r="C29" i="5"/>
  <c r="C33" i="5"/>
  <c r="C37" i="5"/>
  <c r="C41" i="5"/>
  <c r="C49" i="5"/>
  <c r="C53" i="5"/>
  <c r="C57" i="5"/>
  <c r="C61" i="5"/>
  <c r="C65" i="5"/>
  <c r="C7" i="5"/>
  <c r="B19" i="5"/>
  <c r="B23" i="5"/>
  <c r="B31" i="5"/>
  <c r="B39" i="5"/>
  <c r="B51" i="5"/>
  <c r="B59" i="5"/>
  <c r="B63" i="5"/>
  <c r="C15" i="5"/>
  <c r="C23" i="5"/>
  <c r="C27" i="5"/>
  <c r="C35" i="5"/>
  <c r="V43" i="5"/>
  <c r="C55" i="5"/>
  <c r="C63" i="5"/>
  <c r="B12" i="5"/>
  <c r="B20" i="5"/>
  <c r="B32" i="5"/>
  <c r="B44" i="5"/>
  <c r="B48" i="5"/>
  <c r="B60" i="5"/>
  <c r="B10" i="5"/>
  <c r="B14" i="5"/>
  <c r="B18" i="5"/>
  <c r="B22" i="5"/>
  <c r="B26" i="5"/>
  <c r="B30" i="5"/>
  <c r="B34" i="5"/>
  <c r="B38" i="5"/>
  <c r="B42" i="5"/>
  <c r="B46" i="5"/>
  <c r="B54" i="5"/>
  <c r="B58" i="5"/>
  <c r="B62" i="5"/>
  <c r="B7" i="5"/>
  <c r="C10" i="5"/>
  <c r="C14" i="5"/>
  <c r="C18" i="5"/>
  <c r="C22" i="5"/>
  <c r="C26" i="5"/>
  <c r="C30" i="5"/>
  <c r="C34" i="5"/>
  <c r="C38" i="5"/>
  <c r="C42" i="5"/>
  <c r="C46" i="5"/>
  <c r="C54" i="5"/>
  <c r="C58" i="5"/>
  <c r="C62" i="5"/>
  <c r="B11" i="5"/>
  <c r="B15" i="5"/>
  <c r="B27" i="5"/>
  <c r="B35" i="5"/>
  <c r="B55" i="5"/>
  <c r="B67" i="5"/>
  <c r="C11" i="5"/>
  <c r="C19" i="5"/>
  <c r="C31" i="5"/>
  <c r="C39" i="5"/>
  <c r="C51" i="5"/>
  <c r="C59" i="5"/>
  <c r="C67" i="5"/>
  <c r="B8" i="5"/>
  <c r="B24" i="5"/>
  <c r="B40" i="5"/>
  <c r="B56" i="5"/>
  <c r="X43" i="5"/>
  <c r="C8" i="6"/>
  <c r="B32" i="6"/>
  <c r="C9" i="6"/>
  <c r="C12" i="6"/>
  <c r="C11" i="6"/>
  <c r="C10" i="6"/>
  <c r="C7" i="6"/>
  <c r="C4"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R43" i="5"/>
  <c r="H91" i="5"/>
  <c r="R91" i="5"/>
  <c r="E91" i="5"/>
  <c r="X91" i="5" s="1"/>
  <c r="I91" i="5"/>
  <c r="J91"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B35" i="6"/>
  <c r="G35" i="6" s="1"/>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50" i="5"/>
  <c r="S43" i="5"/>
  <c r="S45" i="5"/>
  <c r="T43" i="5"/>
  <c r="AB24" i="5" l="1"/>
  <c r="V11" i="5"/>
  <c r="G11" i="5" s="1"/>
  <c r="V66" i="5"/>
  <c r="V34" i="5"/>
  <c r="G34" i="5" s="1"/>
  <c r="AB66" i="5"/>
  <c r="AB34" i="5"/>
  <c r="AB48" i="5"/>
  <c r="AB47" i="5"/>
  <c r="V57" i="5"/>
  <c r="G57" i="5" s="1"/>
  <c r="V25" i="5"/>
  <c r="AB28" i="5"/>
  <c r="AB41" i="5"/>
  <c r="AB9" i="5"/>
  <c r="V36" i="5"/>
  <c r="G36" i="5" s="1"/>
  <c r="AB8" i="5"/>
  <c r="AB67" i="5"/>
  <c r="V62" i="5"/>
  <c r="G62" i="5" s="1"/>
  <c r="V30" i="5"/>
  <c r="G30" i="5" s="1"/>
  <c r="AB62" i="5"/>
  <c r="AB30" i="5"/>
  <c r="AB44" i="5"/>
  <c r="V35" i="5"/>
  <c r="G35" i="5" s="1"/>
  <c r="AB39" i="5"/>
  <c r="V53" i="5"/>
  <c r="G53" i="5" s="1"/>
  <c r="V21" i="5"/>
  <c r="G21" i="5" s="1"/>
  <c r="AB37" i="5"/>
  <c r="V64" i="5"/>
  <c r="G64" i="5" s="1"/>
  <c r="V32" i="5"/>
  <c r="G32" i="5" s="1"/>
  <c r="V67" i="5"/>
  <c r="G67" i="5" s="1"/>
  <c r="AB55" i="5"/>
  <c r="V58" i="5"/>
  <c r="G58" i="5" s="1"/>
  <c r="V26" i="5"/>
  <c r="G26" i="5" s="1"/>
  <c r="AB58" i="5"/>
  <c r="AB26" i="5"/>
  <c r="AB32" i="5"/>
  <c r="V27" i="5"/>
  <c r="G27" i="5" s="1"/>
  <c r="AB31" i="5"/>
  <c r="V49" i="5"/>
  <c r="G49" i="5" s="1"/>
  <c r="AB65" i="5"/>
  <c r="AB33" i="5"/>
  <c r="V60" i="5"/>
  <c r="V28" i="5"/>
  <c r="G28" i="5" s="1"/>
  <c r="V59" i="5"/>
  <c r="G59" i="5" s="1"/>
  <c r="AB43" i="5"/>
  <c r="V54" i="5"/>
  <c r="G54" i="5" s="1"/>
  <c r="V22" i="5"/>
  <c r="G22" i="5" s="1"/>
  <c r="AB54" i="5"/>
  <c r="AB22" i="5"/>
  <c r="AB20" i="5"/>
  <c r="V23" i="5"/>
  <c r="G23" i="5" s="1"/>
  <c r="AB23" i="5"/>
  <c r="V45" i="5"/>
  <c r="AB61" i="5"/>
  <c r="AB29" i="5"/>
  <c r="V56" i="5"/>
  <c r="G56" i="5" s="1"/>
  <c r="V24" i="5"/>
  <c r="G24" i="5" s="1"/>
  <c r="V51" i="5"/>
  <c r="G51" i="5" s="1"/>
  <c r="AB35" i="5"/>
  <c r="V50" i="5"/>
  <c r="V18" i="5"/>
  <c r="AB50" i="5"/>
  <c r="AB18" i="5"/>
  <c r="AB19" i="5"/>
  <c r="V41" i="5"/>
  <c r="G41" i="5" s="1"/>
  <c r="V9" i="5"/>
  <c r="AB57" i="5"/>
  <c r="AB25" i="5"/>
  <c r="V52" i="5"/>
  <c r="G52" i="5" s="1"/>
  <c r="V20" i="5"/>
  <c r="G20" i="5" s="1"/>
  <c r="V39" i="5"/>
  <c r="G39" i="5" s="1"/>
  <c r="AB27" i="5"/>
  <c r="V46" i="5"/>
  <c r="G46" i="5" s="1"/>
  <c r="AB46" i="5"/>
  <c r="V63" i="5"/>
  <c r="AB63" i="5"/>
  <c r="V7" i="5"/>
  <c r="G7" i="5" s="1"/>
  <c r="V37" i="5"/>
  <c r="G37" i="5" s="1"/>
  <c r="AB64" i="5"/>
  <c r="AB53" i="5"/>
  <c r="AB21" i="5"/>
  <c r="V48" i="5"/>
  <c r="G48" i="5" s="1"/>
  <c r="AB56" i="5"/>
  <c r="V31" i="5"/>
  <c r="G31" i="5" s="1"/>
  <c r="V42" i="5"/>
  <c r="G42" i="5" s="1"/>
  <c r="V10" i="5"/>
  <c r="G10" i="5" s="1"/>
  <c r="AB42" i="5"/>
  <c r="AB10" i="5"/>
  <c r="V55" i="5"/>
  <c r="G55" i="5" s="1"/>
  <c r="AB59" i="5"/>
  <c r="V65" i="5"/>
  <c r="V33" i="5"/>
  <c r="G33" i="5" s="1"/>
  <c r="AB52" i="5"/>
  <c r="AB49" i="5"/>
  <c r="V44" i="5"/>
  <c r="G44" i="5" s="1"/>
  <c r="AB40" i="5"/>
  <c r="V19" i="5"/>
  <c r="AB11" i="5"/>
  <c r="V38" i="5"/>
  <c r="G38" i="5" s="1"/>
  <c r="AB7" i="5"/>
  <c r="AB38" i="5"/>
  <c r="AB60" i="5"/>
  <c r="V47" i="5"/>
  <c r="AB51" i="5"/>
  <c r="V61" i="5"/>
  <c r="V29" i="5"/>
  <c r="G29" i="5" s="1"/>
  <c r="AB36" i="5"/>
  <c r="AB45" i="5"/>
  <c r="V40" i="5"/>
  <c r="G40" i="5" s="1"/>
  <c r="V8" i="5"/>
  <c r="G8" i="5" s="1"/>
  <c r="H46" i="6"/>
  <c r="D46" i="6" s="1"/>
  <c r="H31" i="6"/>
  <c r="C31" i="6" s="1"/>
  <c r="C29" i="6"/>
  <c r="D29" i="6"/>
  <c r="H30" i="6"/>
  <c r="G68" i="6"/>
  <c r="H68" i="6" s="1"/>
  <c r="D68" i="6" s="1"/>
  <c r="AB12" i="5"/>
  <c r="V12" i="5"/>
  <c r="V16" i="5"/>
  <c r="V14" i="5"/>
  <c r="AB14" i="5"/>
  <c r="AB17" i="5"/>
  <c r="AB16" i="5"/>
  <c r="AB13" i="5"/>
  <c r="AB15" i="5"/>
  <c r="V17" i="5"/>
  <c r="V15" i="5"/>
  <c r="V13" i="5"/>
  <c r="F69" i="6"/>
  <c r="H49" i="6"/>
  <c r="D49" i="6" s="1"/>
  <c r="H34" i="6"/>
  <c r="H32" i="6"/>
  <c r="C45" i="6"/>
  <c r="C51" i="6"/>
  <c r="D19" i="6"/>
  <c r="C19" i="6"/>
  <c r="K65" i="6"/>
  <c r="D24" i="6"/>
  <c r="C24" i="6"/>
  <c r="X100" i="5"/>
  <c r="D27" i="6"/>
  <c r="C27" i="6"/>
  <c r="C36" i="6"/>
  <c r="C42" i="6"/>
  <c r="C40" i="6"/>
  <c r="C41" i="6"/>
  <c r="C20" i="6"/>
  <c r="D20" i="6"/>
  <c r="C2" i="6"/>
  <c r="B2" i="6"/>
  <c r="C35"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H63" i="5" l="1"/>
  <c r="I63" i="5"/>
  <c r="R63" i="5"/>
  <c r="F63" i="5"/>
  <c r="J63" i="5"/>
  <c r="E63" i="5"/>
  <c r="E61" i="5"/>
  <c r="H61" i="5"/>
  <c r="F61" i="5"/>
  <c r="R61" i="5"/>
  <c r="I61" i="5"/>
  <c r="J61" i="5"/>
  <c r="J9" i="5"/>
  <c r="F9" i="5"/>
  <c r="R9" i="5"/>
  <c r="I9" i="5"/>
  <c r="H9" i="5"/>
  <c r="E9" i="5"/>
  <c r="F18" i="5"/>
  <c r="H18" i="5"/>
  <c r="J18" i="5"/>
  <c r="R18" i="5"/>
  <c r="I18" i="5"/>
  <c r="E18" i="5"/>
  <c r="I32" i="5"/>
  <c r="H32" i="5"/>
  <c r="R32" i="5"/>
  <c r="E32" i="5"/>
  <c r="F32" i="5"/>
  <c r="J32" i="5"/>
  <c r="E25" i="5"/>
  <c r="F25" i="5"/>
  <c r="H25" i="5"/>
  <c r="R25" i="5"/>
  <c r="I25" i="5"/>
  <c r="J25" i="5"/>
  <c r="E19" i="5"/>
  <c r="J19" i="5"/>
  <c r="F19" i="5"/>
  <c r="I19" i="5"/>
  <c r="H19" i="5"/>
  <c r="R19" i="5"/>
  <c r="J37" i="5"/>
  <c r="R37" i="5"/>
  <c r="I37" i="5"/>
  <c r="H37" i="5"/>
  <c r="E37" i="5"/>
  <c r="F37" i="5"/>
  <c r="I20" i="5"/>
  <c r="R20" i="5"/>
  <c r="E20" i="5"/>
  <c r="H20" i="5"/>
  <c r="J20" i="5"/>
  <c r="F20" i="5"/>
  <c r="R60" i="5"/>
  <c r="F60" i="5"/>
  <c r="E60" i="5"/>
  <c r="J60" i="5"/>
  <c r="I60" i="5"/>
  <c r="H60" i="5"/>
  <c r="E58" i="5"/>
  <c r="F58" i="5"/>
  <c r="I58" i="5"/>
  <c r="J58" i="5"/>
  <c r="R58" i="5"/>
  <c r="H58" i="5"/>
  <c r="I34" i="5"/>
  <c r="J34" i="5"/>
  <c r="R34" i="5"/>
  <c r="E34" i="5"/>
  <c r="H34" i="5"/>
  <c r="F34" i="5"/>
  <c r="H38" i="5"/>
  <c r="F38" i="5"/>
  <c r="I38" i="5"/>
  <c r="E38" i="5"/>
  <c r="R38" i="5"/>
  <c r="J38" i="5"/>
  <c r="R44" i="5"/>
  <c r="E44" i="5"/>
  <c r="I44" i="5"/>
  <c r="F44" i="5"/>
  <c r="J44" i="5"/>
  <c r="H44" i="5"/>
  <c r="E46" i="5"/>
  <c r="I46" i="5"/>
  <c r="J46" i="5"/>
  <c r="R46" i="5"/>
  <c r="F46" i="5"/>
  <c r="H46" i="5"/>
  <c r="E24" i="5"/>
  <c r="F24" i="5"/>
  <c r="I24" i="5"/>
  <c r="J24" i="5"/>
  <c r="H24" i="5"/>
  <c r="R24" i="5"/>
  <c r="R45" i="5"/>
  <c r="X45" i="5"/>
  <c r="H45" i="5"/>
  <c r="R27" i="5"/>
  <c r="J27" i="5"/>
  <c r="E27" i="5"/>
  <c r="F27" i="5"/>
  <c r="H27" i="5"/>
  <c r="I27" i="5"/>
  <c r="H53" i="5"/>
  <c r="R53" i="5"/>
  <c r="I53" i="5"/>
  <c r="E53" i="5"/>
  <c r="F53" i="5"/>
  <c r="J53" i="5"/>
  <c r="F57" i="5"/>
  <c r="J57" i="5"/>
  <c r="H57" i="5"/>
  <c r="R57" i="5"/>
  <c r="I57" i="5"/>
  <c r="E57" i="5"/>
  <c r="E40" i="5"/>
  <c r="F40" i="5"/>
  <c r="J40" i="5"/>
  <c r="H40" i="5"/>
  <c r="R40" i="5"/>
  <c r="I40" i="5"/>
  <c r="H10" i="5"/>
  <c r="E10" i="5"/>
  <c r="J10" i="5"/>
  <c r="F10" i="5"/>
  <c r="I10" i="5"/>
  <c r="R10" i="5"/>
  <c r="H41" i="5"/>
  <c r="E41" i="5"/>
  <c r="F41" i="5"/>
  <c r="R41" i="5"/>
  <c r="I41" i="5"/>
  <c r="J41" i="5"/>
  <c r="H50" i="5"/>
  <c r="R50" i="5"/>
  <c r="X50" i="5"/>
  <c r="H59" i="5"/>
  <c r="E59" i="5"/>
  <c r="F59" i="5"/>
  <c r="I59" i="5"/>
  <c r="J59" i="5"/>
  <c r="R59" i="5"/>
  <c r="I64" i="5"/>
  <c r="J64" i="5"/>
  <c r="H64" i="5"/>
  <c r="R64" i="5"/>
  <c r="E64" i="5"/>
  <c r="F64" i="5"/>
  <c r="E30" i="5"/>
  <c r="R30" i="5"/>
  <c r="H30" i="5"/>
  <c r="J30" i="5"/>
  <c r="I30" i="5"/>
  <c r="F30" i="5"/>
  <c r="H36" i="5"/>
  <c r="R36" i="5"/>
  <c r="I36" i="5"/>
  <c r="E36" i="5"/>
  <c r="F36" i="5"/>
  <c r="J36" i="5"/>
  <c r="R65" i="5"/>
  <c r="E65" i="5"/>
  <c r="J65" i="5"/>
  <c r="F65" i="5"/>
  <c r="H65" i="5"/>
  <c r="I65" i="5"/>
  <c r="J48" i="5"/>
  <c r="R48" i="5"/>
  <c r="H48" i="5"/>
  <c r="E48" i="5"/>
  <c r="F48" i="5"/>
  <c r="I48" i="5"/>
  <c r="H7" i="5"/>
  <c r="F7" i="5"/>
  <c r="R7" i="5"/>
  <c r="I7" i="5"/>
  <c r="E7" i="5"/>
  <c r="J7" i="5"/>
  <c r="R47" i="5"/>
  <c r="H47" i="5"/>
  <c r="G19" i="5"/>
  <c r="J42" i="5"/>
  <c r="H42" i="5"/>
  <c r="E42" i="5"/>
  <c r="F42" i="5"/>
  <c r="I42" i="5"/>
  <c r="R42" i="5"/>
  <c r="I52" i="5"/>
  <c r="J52" i="5"/>
  <c r="H52" i="5"/>
  <c r="R52" i="5"/>
  <c r="E52" i="5"/>
  <c r="F52" i="5"/>
  <c r="J22" i="5"/>
  <c r="I22" i="5"/>
  <c r="F22" i="5"/>
  <c r="R22" i="5"/>
  <c r="E22" i="5"/>
  <c r="H22" i="5"/>
  <c r="R66" i="5"/>
  <c r="H66" i="5"/>
  <c r="H8" i="5"/>
  <c r="J8" i="5"/>
  <c r="F8" i="5"/>
  <c r="R8" i="5"/>
  <c r="I8" i="5"/>
  <c r="E8" i="5"/>
  <c r="F29" i="5"/>
  <c r="R29" i="5"/>
  <c r="J29" i="5"/>
  <c r="H29" i="5"/>
  <c r="E29" i="5"/>
  <c r="I29" i="5"/>
  <c r="H55" i="5"/>
  <c r="J55" i="5"/>
  <c r="E55" i="5"/>
  <c r="F55" i="5"/>
  <c r="I55" i="5"/>
  <c r="R55" i="5"/>
  <c r="G63" i="5"/>
  <c r="E56" i="5"/>
  <c r="F56" i="5"/>
  <c r="I56" i="5"/>
  <c r="J56" i="5"/>
  <c r="H56" i="5"/>
  <c r="R56" i="5"/>
  <c r="H67" i="5"/>
  <c r="R67" i="5"/>
  <c r="J67" i="5"/>
  <c r="E67" i="5"/>
  <c r="F67" i="5"/>
  <c r="I67" i="5"/>
  <c r="H35" i="5"/>
  <c r="R35" i="5"/>
  <c r="J35" i="5"/>
  <c r="I35" i="5"/>
  <c r="E35" i="5"/>
  <c r="F35" i="5"/>
  <c r="J11" i="5"/>
  <c r="I11" i="5"/>
  <c r="H11" i="5"/>
  <c r="F11" i="5"/>
  <c r="R11" i="5"/>
  <c r="E11" i="5"/>
  <c r="I33" i="5"/>
  <c r="J33" i="5"/>
  <c r="H33" i="5"/>
  <c r="R33" i="5"/>
  <c r="E33" i="5"/>
  <c r="F33" i="5"/>
  <c r="E39" i="5"/>
  <c r="F39" i="5"/>
  <c r="I39" i="5"/>
  <c r="R39" i="5"/>
  <c r="H39" i="5"/>
  <c r="J39" i="5"/>
  <c r="H23" i="5"/>
  <c r="I23" i="5"/>
  <c r="F23" i="5"/>
  <c r="E23" i="5"/>
  <c r="J23" i="5"/>
  <c r="R23" i="5"/>
  <c r="H28" i="5"/>
  <c r="E28" i="5"/>
  <c r="F28" i="5"/>
  <c r="R28" i="5"/>
  <c r="J28" i="5"/>
  <c r="I28" i="5"/>
  <c r="R49" i="5"/>
  <c r="I49" i="5"/>
  <c r="E49" i="5"/>
  <c r="J49" i="5"/>
  <c r="F49" i="5"/>
  <c r="H49" i="5"/>
  <c r="H62" i="5"/>
  <c r="E62" i="5"/>
  <c r="I62" i="5"/>
  <c r="R62" i="5"/>
  <c r="F62" i="5"/>
  <c r="J62" i="5"/>
  <c r="G61" i="5"/>
  <c r="G65" i="5"/>
  <c r="R31" i="5"/>
  <c r="H31" i="5"/>
  <c r="F31" i="5"/>
  <c r="J31" i="5"/>
  <c r="E31" i="5"/>
  <c r="I31" i="5"/>
  <c r="G9" i="5"/>
  <c r="G18" i="5"/>
  <c r="H51" i="5"/>
  <c r="R51" i="5"/>
  <c r="J51" i="5"/>
  <c r="I51" i="5"/>
  <c r="E51" i="5"/>
  <c r="F51" i="5"/>
  <c r="J54" i="5"/>
  <c r="H54" i="5"/>
  <c r="F54" i="5"/>
  <c r="E54" i="5"/>
  <c r="I54" i="5"/>
  <c r="R54" i="5"/>
  <c r="G60" i="5"/>
  <c r="I26" i="5"/>
  <c r="E26" i="5"/>
  <c r="H26" i="5"/>
  <c r="F26" i="5"/>
  <c r="J26" i="5"/>
  <c r="R26" i="5"/>
  <c r="I21" i="5"/>
  <c r="E21" i="5"/>
  <c r="H21" i="5"/>
  <c r="F21" i="5"/>
  <c r="J21" i="5"/>
  <c r="R21" i="5"/>
  <c r="G25" i="5"/>
  <c r="E13" i="5"/>
  <c r="F13" i="5"/>
  <c r="G13" i="5"/>
  <c r="F14" i="5"/>
  <c r="G14" i="5"/>
  <c r="E14" i="5"/>
  <c r="E15" i="5"/>
  <c r="G15" i="5"/>
  <c r="F15" i="5"/>
  <c r="E16" i="5"/>
  <c r="F16" i="5"/>
  <c r="G16" i="5"/>
  <c r="E17" i="5"/>
  <c r="F17" i="5"/>
  <c r="G17" i="5"/>
  <c r="E12" i="5"/>
  <c r="F12" i="5"/>
  <c r="G12" i="5"/>
  <c r="C46" i="6"/>
  <c r="C34" i="6"/>
  <c r="D34" i="6"/>
  <c r="D31" i="6"/>
  <c r="C30" i="6"/>
  <c r="D30" i="6"/>
  <c r="C32" i="6"/>
  <c r="D32" i="6"/>
  <c r="R16" i="5"/>
  <c r="I16" i="5"/>
  <c r="H16" i="5"/>
  <c r="J16" i="5"/>
  <c r="H13" i="5"/>
  <c r="R13" i="5"/>
  <c r="J13" i="5"/>
  <c r="I13" i="5"/>
  <c r="H17" i="5"/>
  <c r="I17" i="5"/>
  <c r="J17" i="5"/>
  <c r="R17" i="5"/>
  <c r="G66" i="6"/>
  <c r="H66" i="6" s="1"/>
  <c r="C66" i="6" s="1"/>
  <c r="G67" i="6"/>
  <c r="H67" i="6" s="1"/>
  <c r="D67" i="6" s="1"/>
  <c r="G65" i="6"/>
  <c r="H65" i="6" s="1"/>
  <c r="C65" i="6" s="1"/>
  <c r="I12" i="5"/>
  <c r="J12" i="5"/>
  <c r="R12" i="5"/>
  <c r="H12" i="5"/>
  <c r="H15" i="5"/>
  <c r="J15" i="5"/>
  <c r="I15" i="5"/>
  <c r="R15" i="5"/>
  <c r="I14" i="5"/>
  <c r="R14" i="5"/>
  <c r="J14" i="5"/>
  <c r="H14" i="5"/>
  <c r="C68" i="6"/>
  <c r="C49" i="6"/>
  <c r="C47" i="6"/>
  <c r="C60" i="6"/>
  <c r="D60" i="6"/>
  <c r="D58" i="6"/>
  <c r="C58" i="6"/>
  <c r="D63" i="6"/>
  <c r="C63" i="6"/>
  <c r="C62" i="6"/>
  <c r="D62" i="6"/>
  <c r="C54" i="6"/>
  <c r="D54" i="6"/>
  <c r="D57" i="6"/>
  <c r="C57" i="6"/>
  <c r="F56" i="6"/>
  <c r="H56" i="6" s="1"/>
  <c r="H55" i="6"/>
  <c r="D59" i="6"/>
  <c r="C59" i="6"/>
  <c r="T50" i="5"/>
  <c r="T36" i="5"/>
  <c r="S32" i="5"/>
  <c r="S28" i="5"/>
  <c r="T47" i="5"/>
  <c r="T52" i="5"/>
  <c r="T41" i="5"/>
  <c r="T37" i="5"/>
  <c r="T35" i="5"/>
  <c r="S47" i="5"/>
  <c r="S33" i="5"/>
  <c r="S59" i="5"/>
  <c r="S20" i="5"/>
  <c r="S30" i="5"/>
  <c r="T55" i="5"/>
  <c r="S44" i="5"/>
  <c r="S55" i="5"/>
  <c r="T12" i="5"/>
  <c r="S56" i="5"/>
  <c r="T31" i="5"/>
  <c r="S60" i="5"/>
  <c r="S26" i="5"/>
  <c r="S48" i="5"/>
  <c r="S24" i="5"/>
  <c r="T61" i="5"/>
  <c r="T18" i="5"/>
  <c r="T67" i="5"/>
  <c r="S61" i="5"/>
  <c r="S49" i="5"/>
  <c r="T39" i="5"/>
  <c r="T40" i="5"/>
  <c r="S35" i="5"/>
  <c r="S57" i="5"/>
  <c r="T45" i="5"/>
  <c r="T54" i="5"/>
  <c r="S65" i="5"/>
  <c r="T44" i="5"/>
  <c r="S52" i="5"/>
  <c r="T11" i="5"/>
  <c r="T56" i="5"/>
  <c r="T13" i="5"/>
  <c r="S53" i="5"/>
  <c r="T17" i="5"/>
  <c r="T66" i="5"/>
  <c r="S9" i="5"/>
  <c r="T42" i="5"/>
  <c r="T25" i="5"/>
  <c r="T23" i="5"/>
  <c r="S41" i="5"/>
  <c r="S37" i="5"/>
  <c r="S51" i="5"/>
  <c r="T49" i="5"/>
  <c r="T16" i="5"/>
  <c r="T14" i="5"/>
  <c r="S19" i="5"/>
  <c r="T24" i="5"/>
  <c r="S66" i="5"/>
  <c r="T60" i="5"/>
  <c r="S22" i="5"/>
  <c r="T34" i="5"/>
  <c r="T51" i="5"/>
  <c r="S36" i="5"/>
  <c r="T46" i="5"/>
  <c r="S21" i="5"/>
  <c r="T64" i="5"/>
  <c r="T62" i="5"/>
  <c r="S7" i="5"/>
  <c r="T53" i="5"/>
  <c r="T29" i="5"/>
  <c r="S38" i="5"/>
  <c r="T22" i="5"/>
  <c r="T48" i="5"/>
  <c r="S18" i="5"/>
  <c r="T30" i="5"/>
  <c r="T57" i="5"/>
  <c r="T59" i="5"/>
  <c r="S67" i="5"/>
  <c r="S8" i="5"/>
  <c r="T58" i="5"/>
  <c r="S27" i="5"/>
  <c r="T21" i="5"/>
  <c r="T7" i="5"/>
  <c r="S11" i="5"/>
  <c r="S25" i="5"/>
  <c r="S31" i="5"/>
  <c r="T15" i="5"/>
  <c r="T28" i="5"/>
  <c r="S42" i="5"/>
  <c r="S58" i="5"/>
  <c r="S10" i="5"/>
  <c r="S64" i="5"/>
  <c r="T65" i="5"/>
  <c r="S40" i="5"/>
  <c r="T10" i="5"/>
  <c r="T20" i="5"/>
  <c r="S29" i="5"/>
  <c r="S23" i="5"/>
  <c r="S62" i="5"/>
  <c r="S54" i="5"/>
  <c r="T63" i="5"/>
  <c r="T26" i="5"/>
  <c r="T9" i="5"/>
  <c r="T8" i="5"/>
  <c r="T19" i="5"/>
  <c r="S34" i="5"/>
  <c r="T38" i="5"/>
  <c r="T33" i="5"/>
  <c r="S46" i="5"/>
  <c r="T27" i="5"/>
  <c r="S39" i="5"/>
  <c r="S63" i="5"/>
  <c r="T32" i="5"/>
  <c r="X66" i="5" l="1"/>
  <c r="X47" i="5"/>
  <c r="X28" i="5"/>
  <c r="X55" i="5"/>
  <c r="X10" i="5"/>
  <c r="X57" i="5"/>
  <c r="X53" i="5"/>
  <c r="X44" i="5"/>
  <c r="X18" i="5"/>
  <c r="X21" i="5"/>
  <c r="X51" i="5"/>
  <c r="X31" i="5"/>
  <c r="X49" i="5"/>
  <c r="X8" i="5"/>
  <c r="X37" i="5"/>
  <c r="X25" i="5"/>
  <c r="X61" i="5"/>
  <c r="X67" i="5"/>
  <c r="X36" i="5"/>
  <c r="X41" i="5"/>
  <c r="X34" i="5"/>
  <c r="X63" i="5"/>
  <c r="X35" i="5"/>
  <c r="X56" i="5"/>
  <c r="X30" i="5"/>
  <c r="X46" i="5"/>
  <c r="X58" i="5"/>
  <c r="X19" i="5"/>
  <c r="X54" i="5"/>
  <c r="X62" i="5"/>
  <c r="X23" i="5"/>
  <c r="X11" i="5"/>
  <c r="X29" i="5"/>
  <c r="X52" i="5"/>
  <c r="X42" i="5"/>
  <c r="X38" i="5"/>
  <c r="X32" i="5"/>
  <c r="X39" i="5"/>
  <c r="X64" i="5"/>
  <c r="X24" i="5"/>
  <c r="X20" i="5"/>
  <c r="X22" i="5"/>
  <c r="X48" i="5"/>
  <c r="X65" i="5"/>
  <c r="X59" i="5"/>
  <c r="X9" i="5"/>
  <c r="X26" i="5"/>
  <c r="X33" i="5"/>
  <c r="X7" i="5"/>
  <c r="X40" i="5"/>
  <c r="X27" i="5"/>
  <c r="X60" i="5"/>
  <c r="X13" i="5"/>
  <c r="D65" i="6"/>
  <c r="X12" i="5"/>
  <c r="X14" i="5"/>
  <c r="X17" i="5"/>
  <c r="D66" i="6"/>
  <c r="C67" i="6"/>
  <c r="X15" i="5"/>
  <c r="G69" i="6"/>
  <c r="X16" i="5"/>
  <c r="D55" i="6"/>
  <c r="C55" i="6"/>
  <c r="D56" i="6"/>
  <c r="C56" i="6"/>
  <c r="S14" i="5"/>
  <c r="S12" i="5"/>
  <c r="S15" i="5"/>
  <c r="S13" i="5"/>
  <c r="S16" i="5"/>
  <c r="S17" i="5"/>
  <c r="H69" i="6" l="1"/>
  <c r="H70" i="6" s="1"/>
  <c r="D2" i="6" s="1"/>
  <c r="C69" i="6"/>
</calcChain>
</file>

<file path=xl/comments1.xml><?xml version="1.0" encoding="utf-8"?>
<comments xmlns="http://schemas.openxmlformats.org/spreadsheetml/2006/main">
  <authors>
    <author>a64a</author>
  </authors>
  <commentList>
    <comment ref="P3" authorId="0" shapeId="0">
      <text>
        <r>
          <rPr>
            <sz val="9"/>
            <rFont val="ＭＳ Ｐゴシック"/>
            <family val="3"/>
            <charset val="128"/>
          </rPr>
          <t>location number in language list</t>
        </r>
      </text>
    </comment>
    <comment ref="P9" authorId="0" shapeId="0">
      <text>
        <r>
          <rPr>
            <sz val="9"/>
            <rFont val="ＭＳ Ｐゴシック"/>
            <family val="3"/>
            <charset val="128"/>
          </rPr>
          <t>list for Validation in D9</t>
        </r>
      </text>
    </comment>
    <comment ref="P26" authorId="0" shapeId="0">
      <text>
        <r>
          <rPr>
            <sz val="9"/>
            <rFont val="ＭＳ Ｐゴシック"/>
            <family val="3"/>
            <charset val="128"/>
          </rPr>
          <t>condition for answer Q3 and later</t>
        </r>
      </text>
    </comment>
    <comment ref="Q31" authorId="0" shapeId="0">
      <text>
        <r>
          <rPr>
            <sz val="9"/>
            <rFont val="ＭＳ Ｐゴシック"/>
            <family val="3"/>
            <charset val="128"/>
          </rPr>
          <t>condition for answer</t>
        </r>
      </text>
    </comment>
    <comment ref="P32" authorId="0" shapeId="0">
      <text>
        <r>
          <rPr>
            <sz val="9"/>
            <rFont val="ＭＳ Ｐゴシック"/>
            <family val="3"/>
            <charset val="128"/>
          </rPr>
          <t>condition for answer Q3 and later</t>
        </r>
      </text>
    </comment>
    <comment ref="Q37" authorId="0" shapeId="0">
      <text>
        <r>
          <rPr>
            <sz val="9"/>
            <rFont val="ＭＳ Ｐゴシック"/>
            <family val="3"/>
            <charset val="128"/>
          </rPr>
          <t>condition for answer</t>
        </r>
      </text>
    </comment>
    <comment ref="Q43" authorId="0" shapeId="0">
      <text>
        <r>
          <rPr>
            <sz val="9"/>
            <rFont val="ＭＳ Ｐゴシック"/>
            <family val="3"/>
            <charset val="128"/>
          </rPr>
          <t>condition for answer</t>
        </r>
      </text>
    </comment>
  </commentList>
</comments>
</file>

<file path=xl/comments2.xml><?xml version="1.0" encoding="utf-8"?>
<comments xmlns="http://schemas.openxmlformats.org/spreadsheetml/2006/main">
  <authors>
    <author>a64a</author>
  </authors>
  <commentList>
    <comment ref="W3" authorId="0" shapeId="0">
      <text>
        <r>
          <rPr>
            <sz val="9"/>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8" authorId="0" shapeId="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4" authorId="0" shapeId="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<sst xmlns="http://schemas.openxmlformats.org/spreadsheetml/2006/main" count="21985" uniqueCount="15530">
  <si>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</si>
  <si>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</si>
  <si>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</si>
  <si>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</si>
  <si>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</si>
  <si>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</si>
  <si>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</si>
  <si>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</si>
  <si>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</si>
  <si>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</si>
  <si>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</si>
  <si>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</si>
  <si>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</si>
  <si>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</si>
  <si>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</si>
  <si>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</si>
  <si>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</si>
  <si>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</si>
  <si>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</si>
  <si>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</si>
  <si>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</si>
  <si>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</si>
  <si>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</si>
  <si>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</si>
  <si>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</si>
  <si>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</si>
  <si>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</si>
  <si>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</si>
  <si>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</si>
  <si>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</si>
  <si>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</si>
  <si>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</si>
  <si>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</si>
  <si>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</si>
  <si>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</si>
  <si>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</si>
  <si>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</si>
  <si>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</si>
  <si>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</si>
  <si>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</si>
  <si>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</si>
  <si>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</si>
  <si>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</si>
  <si>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</si>
  <si>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</si>
  <si>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</si>
  <si>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</si>
  <si>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</si>
  <si>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</si>
  <si>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</si>
  <si>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</si>
  <si>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</si>
  <si>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</si>
  <si>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</si>
  <si>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</si>
  <si>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</si>
  <si>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</si>
  <si>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</si>
  <si>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</si>
  <si>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</si>
  <si>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</si>
  <si>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</si>
  <si>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</si>
  <si>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</si>
  <si>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</si>
  <si>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</si>
  <si>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</si>
  <si>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</si>
  <si>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</si>
  <si>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</si>
  <si>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</si>
  <si>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</si>
  <si>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</si>
  <si>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</si>
  <si>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</si>
  <si>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</si>
  <si>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</si>
  <si>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</si>
  <si>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</si>
  <si>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</si>
  <si>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</si>
  <si>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</si>
  <si>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</si>
  <si>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</si>
  <si>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</si>
  <si>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</si>
  <si>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</si>
  <si>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</si>
  <si>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</si>
  <si>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</si>
  <si>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</si>
  <si>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</si>
  <si>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</si>
  <si>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</si>
  <si>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</si>
  <si>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</si>
  <si>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</si>
  <si>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</si>
  <si>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</si>
  <si>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</si>
  <si>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</si>
  <si>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</si>
  <si>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</si>
  <si>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</si>
  <si>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</si>
  <si>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</si>
  <si>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</si>
  <si>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</si>
  <si>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</si>
  <si>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</si>
  <si>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</si>
  <si>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</si>
  <si>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</si>
  <si>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</si>
  <si>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</si>
  <si>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</si>
  <si>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</si>
  <si>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</si>
  <si>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</si>
  <si>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</si>
  <si>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</si>
  <si>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</si>
  <si>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</si>
  <si>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</si>
  <si>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</si>
  <si>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</si>
  <si>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</si>
  <si>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</si>
  <si>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</si>
  <si>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</si>
  <si>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</si>
  <si>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</si>
  <si>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</si>
  <si>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</si>
  <si>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</si>
  <si>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</si>
  <si>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</si>
  <si>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</si>
  <si>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</si>
  <si>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</si>
  <si>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</si>
  <si>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</si>
  <si>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</si>
  <si>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</si>
  <si>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</si>
  <si>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</si>
  <si>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</si>
  <si>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</si>
  <si>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</si>
  <si>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</si>
  <si>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</si>
  <si>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</si>
  <si>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</si>
  <si>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</si>
  <si>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</si>
  <si>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</si>
  <si>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</si>
  <si>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</si>
  <si>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</si>
  <si>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</si>
  <si>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</si>
  <si>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</si>
  <si>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</si>
  <si>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</si>
  <si>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</si>
  <si>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</si>
  <si>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</si>
  <si>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</si>
  <si>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</si>
  <si>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</si>
  <si>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</si>
  <si>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</si>
  <si>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</si>
  <si>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</si>
  <si>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</si>
  <si>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</si>
  <si>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</si>
  <si>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</si>
  <si>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</si>
  <si>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</si>
  <si>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</si>
  <si>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</si>
  <si>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</si>
  <si>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</si>
  <si>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</si>
  <si>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</si>
  <si>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</si>
  <si>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</si>
  <si>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</si>
  <si>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</si>
  <si>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</si>
  <si>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</si>
  <si>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</si>
  <si>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</si>
  <si>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</si>
  <si>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</si>
  <si>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</si>
  <si>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</si>
  <si>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</si>
  <si>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</si>
  <si>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</si>
  <si>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</si>
  <si>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</si>
  <si>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</si>
  <si>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</si>
  <si>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</si>
  <si>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</si>
  <si>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</si>
  <si>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</si>
  <si>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</si>
  <si>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</si>
  <si>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</si>
  <si>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</si>
  <si>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</si>
  <si>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</si>
  <si>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</si>
  <si>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</si>
  <si>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</si>
  <si>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</si>
  <si>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</si>
  <si>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</si>
  <si>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</si>
  <si>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</si>
  <si>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</si>
  <si>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</si>
  <si>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</si>
  <si>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</si>
  <si>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</si>
  <si>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</si>
  <si>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</si>
  <si>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</si>
  <si>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</si>
  <si>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</si>
  <si>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</si>
  <si>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</si>
  <si>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</si>
  <si>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</si>
  <si>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</si>
  <si>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</si>
  <si>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</si>
  <si>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</si>
  <si>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</si>
  <si>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</si>
  <si>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</si>
  <si>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</si>
  <si>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</si>
  <si>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</si>
  <si>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</si>
  <si>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</si>
  <si>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</si>
  <si>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</si>
  <si>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</si>
  <si>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</si>
  <si>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</si>
  <si>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</si>
  <si>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</si>
  <si>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</si>
  <si>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</si>
  <si>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</si>
  <si>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</si>
  <si>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</si>
  <si>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</si>
  <si>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</si>
  <si>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</si>
  <si>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</si>
  <si>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</si>
  <si>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</si>
  <si>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</si>
  <si>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</si>
  <si>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</si>
  <si>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</si>
  <si>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</si>
  <si>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</si>
  <si>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</si>
  <si>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</si>
  <si>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</si>
  <si>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</si>
  <si>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</si>
  <si>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</si>
  <si>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</si>
  <si>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</si>
  <si>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</si>
  <si>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</si>
  <si>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</si>
  <si>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</si>
  <si>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</si>
  <si>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</si>
  <si>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</si>
  <si>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</si>
  <si>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</si>
  <si>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</si>
  <si>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</si>
  <si>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</si>
  <si>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</si>
  <si>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</si>
  <si>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</si>
  <si>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</si>
  <si>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</si>
  <si>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</si>
  <si>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</si>
  <si>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</si>
  <si>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</si>
  <si>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</si>
  <si>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</si>
  <si>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</si>
  <si>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</si>
  <si>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</si>
  <si>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</si>
  <si>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</si>
  <si>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</si>
  <si>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</si>
  <si>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</si>
  <si>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</si>
  <si>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</si>
  <si>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</si>
  <si>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</si>
  <si>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</si>
  <si>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</si>
  <si>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</si>
  <si>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</si>
  <si>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</si>
  <si>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</si>
  <si>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</si>
  <si>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</si>
  <si>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</si>
  <si>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</si>
  <si>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</si>
  <si>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</si>
  <si>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</si>
  <si>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</si>
  <si>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</si>
  <si>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</si>
  <si>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</si>
  <si>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</si>
  <si>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</si>
  <si>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</si>
  <si>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</si>
  <si>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</si>
  <si>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</si>
  <si>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</si>
  <si>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</si>
  <si>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</si>
  <si>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</si>
  <si>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</si>
  <si>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</si>
  <si>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</si>
  <si>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</si>
  <si>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</si>
  <si>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</si>
  <si>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</si>
  <si>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</si>
  <si>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</si>
  <si>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</si>
  <si>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</si>
  <si>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</si>
  <si>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</si>
  <si>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</si>
  <si>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</si>
  <si>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</si>
  <si>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</si>
  <si>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</si>
  <si>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</si>
  <si>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</si>
  <si>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</si>
  <si>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</si>
  <si>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</si>
  <si>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</si>
  <si>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</si>
  <si>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</si>
  <si>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</si>
  <si>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</si>
  <si>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</si>
  <si>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</si>
  <si>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</si>
  <si>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</si>
  <si>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</si>
  <si>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</si>
  <si>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</si>
  <si>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</si>
  <si>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</si>
  <si>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</si>
  <si>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</si>
  <si>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</si>
  <si>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</si>
  <si>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</si>
  <si>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</si>
  <si>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</si>
  <si>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</si>
  <si>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</si>
  <si>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</si>
  <si>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</si>
  <si>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</si>
  <si>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</si>
  <si>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</si>
  <si>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</si>
  <si>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</si>
  <si>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</si>
  <si>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</si>
  <si>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</si>
  <si>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</si>
  <si>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</si>
  <si>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</si>
  <si>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</si>
  <si>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</si>
  <si>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</si>
  <si>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</si>
  <si>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</si>
  <si>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</si>
  <si>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</si>
  <si>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</si>
  <si>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</si>
  <si>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</si>
  <si>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</si>
  <si>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</si>
  <si>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</si>
  <si>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</si>
  <si>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</si>
  <si>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</si>
  <si>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</si>
  <si>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</si>
  <si>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</si>
  <si>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</si>
  <si>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</si>
  <si>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</si>
  <si>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</si>
  <si>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</si>
  <si>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</si>
  <si>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</si>
  <si>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</si>
  <si>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</si>
  <si>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</si>
  <si>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</si>
  <si>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</si>
  <si>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</si>
  <si>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</si>
  <si>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</si>
  <si>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</si>
  <si>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</si>
  <si>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</si>
  <si>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</si>
  <si>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</si>
  <si>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</si>
  <si>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</si>
  <si>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</si>
  <si>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</si>
  <si>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</si>
  <si>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</si>
  <si>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</si>
  <si>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</si>
  <si>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</si>
  <si>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</si>
  <si>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</si>
  <si>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</si>
  <si>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</si>
  <si>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</si>
  <si>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</si>
  <si>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</si>
  <si>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</si>
  <si>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</si>
  <si>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</si>
  <si>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</si>
  <si>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</si>
  <si>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</si>
  <si>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</si>
  <si>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</si>
  <si>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</si>
  <si>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</si>
  <si>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</si>
  <si>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</si>
  <si>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</si>
  <si>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</si>
  <si>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</si>
  <si>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</si>
  <si>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</si>
  <si>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</si>
  <si>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</si>
  <si>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</si>
  <si>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</si>
  <si>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</si>
  <si>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</si>
  <si>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</si>
  <si>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</si>
  <si>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</si>
  <si>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</si>
  <si>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</si>
  <si>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</si>
  <si>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</si>
  <si>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</si>
  <si>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</si>
  <si>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</si>
  <si>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</si>
  <si>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</si>
  <si>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</si>
  <si>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</si>
  <si>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</si>
  <si>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</si>
  <si>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</si>
  <si>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</si>
  <si>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</si>
  <si>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</si>
  <si>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</si>
  <si>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</si>
  <si>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</si>
  <si>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</si>
  <si>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</si>
  <si>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</si>
  <si>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</si>
  <si>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</si>
  <si>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</si>
  <si>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</si>
  <si>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</si>
  <si>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</si>
  <si>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</si>
  <si>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</si>
  <si>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</si>
  <si>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</si>
  <si>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</si>
  <si>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</si>
  <si>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</si>
  <si>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</si>
  <si>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</si>
  <si>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</si>
  <si>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</si>
  <si>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</si>
  <si>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</si>
  <si>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</si>
  <si>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</si>
  <si>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</si>
  <si>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</si>
  <si>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</si>
  <si>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</si>
  <si>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</si>
  <si>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</si>
  <si>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</si>
  <si>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</si>
  <si>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</si>
  <si>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</si>
  <si>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</si>
  <si>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</si>
  <si>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</si>
  <si>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</si>
  <si>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</si>
  <si>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</si>
  <si>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</si>
  <si>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</si>
  <si>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</si>
  <si>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</si>
  <si>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</si>
  <si>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</si>
  <si>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</si>
  <si>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</si>
  <si>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</si>
  <si>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</si>
  <si>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</si>
  <si>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</si>
  <si>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</si>
  <si>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</si>
  <si>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</si>
  <si>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</si>
  <si>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</si>
  <si>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</si>
  <si>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</si>
  <si>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</si>
  <si>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</si>
  <si>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</si>
  <si>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</si>
  <si>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</si>
  <si>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</si>
  <si>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</si>
  <si>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</si>
  <si>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</si>
  <si>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</si>
  <si>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</si>
  <si>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</si>
  <si>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</si>
  <si>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</si>
  <si>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</si>
  <si>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</si>
  <si>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</si>
  <si>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</si>
  <si>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</si>
  <si>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</si>
  <si>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</si>
  <si>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</si>
  <si>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</si>
  <si>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</si>
  <si>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</si>
  <si>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</si>
  <si>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</si>
  <si>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</si>
  <si>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</si>
  <si>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</si>
  <si>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</si>
  <si>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</si>
  <si>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</si>
  <si>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</si>
  <si>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</si>
  <si>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</si>
  <si>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</si>
  <si>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</si>
  <si>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</si>
  <si>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</si>
  <si>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</si>
  <si>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</si>
  <si>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</si>
  <si>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</si>
  <si>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</si>
  <si>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</si>
  <si>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</si>
  <si>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</si>
  <si>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</si>
  <si>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</si>
  <si>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</si>
  <si>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</si>
  <si>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</si>
  <si>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</si>
  <si>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</si>
  <si>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</si>
  <si>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</si>
  <si>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</si>
  <si>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</si>
  <si>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</si>
  <si>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</si>
  <si>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</si>
  <si>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</si>
  <si>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</si>
  <si>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</si>
  <si>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</si>
  <si>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</si>
  <si>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</si>
  <si>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</si>
  <si>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</si>
  <si>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</si>
  <si>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</si>
  <si>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</si>
  <si>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</si>
  <si>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</si>
  <si>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</si>
  <si>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</si>
  <si>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</si>
  <si>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</si>
  <si>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</si>
  <si>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</si>
  <si>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</si>
  <si>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</si>
  <si>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</si>
  <si>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</si>
  <si>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</si>
  <si>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</si>
  <si>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</si>
  <si>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</si>
  <si>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</si>
  <si>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</si>
  <si>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</si>
  <si>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</si>
  <si>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</si>
  <si>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</si>
  <si>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</si>
  <si>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</si>
  <si>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</si>
  <si>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</si>
  <si>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</si>
  <si>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</si>
  <si>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</si>
  <si>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</si>
  <si>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</si>
  <si>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</si>
  <si>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</si>
  <si>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</si>
  <si>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</si>
  <si>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</si>
  <si>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</si>
  <si>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</si>
  <si>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</si>
  <si>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</si>
  <si>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</si>
  <si>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</si>
  <si>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</si>
  <si>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</si>
  <si>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</si>
  <si>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</si>
  <si>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</si>
  <si>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</si>
  <si>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</si>
  <si>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</si>
  <si>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</si>
  <si>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</si>
  <si>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</si>
  <si>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</si>
  <si>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</si>
  <si>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</si>
  <si>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</si>
  <si>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</si>
  <si>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</si>
  <si>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</si>
  <si>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</si>
  <si>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</si>
  <si>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</si>
  <si>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</si>
  <si>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</si>
  <si>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</si>
  <si>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</si>
  <si>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</si>
  <si>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</si>
  <si>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</si>
  <si>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</si>
  <si>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</si>
  <si>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</si>
  <si>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</si>
  <si>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</si>
  <si>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</si>
  <si>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</si>
  <si>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</si>
  <si>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</si>
  <si>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</si>
  <si>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</si>
  <si>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</si>
  <si>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</si>
  <si>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</si>
  <si>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</si>
  <si>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</si>
  <si>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</si>
  <si>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</si>
  <si>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</si>
  <si>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</si>
  <si>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</si>
  <si>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</si>
  <si>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</si>
  <si>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</si>
  <si>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</si>
  <si>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</si>
  <si>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</si>
  <si>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</si>
  <si>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</si>
  <si>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</si>
  <si>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</si>
  <si>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</si>
  <si>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</si>
  <si>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</si>
  <si>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</si>
  <si>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</si>
  <si>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</si>
  <si>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</si>
  <si>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</si>
  <si>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</si>
  <si>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</si>
  <si>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</si>
  <si>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</si>
  <si>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</si>
  <si>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</si>
  <si>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</si>
  <si>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</si>
  <si>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</si>
  <si>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</si>
  <si>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</si>
  <si>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</si>
  <si>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</si>
  <si>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</si>
  <si>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</si>
  <si>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</si>
  <si>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</si>
  <si>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</si>
  <si>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</si>
  <si>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</si>
  <si>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</si>
  <si>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</si>
  <si>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</si>
  <si>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</si>
  <si>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</si>
  <si>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</si>
  <si>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</si>
  <si>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</si>
  <si>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</si>
  <si>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</si>
  <si>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</si>
  <si>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</si>
  <si>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</si>
  <si>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</si>
  <si>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</si>
  <si>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</si>
  <si>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</si>
  <si>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</si>
  <si>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</si>
  <si>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</si>
  <si>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</si>
  <si>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</si>
  <si>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</si>
  <si>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</si>
  <si>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</si>
  <si>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</si>
  <si>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</si>
  <si>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</si>
  <si>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</si>
  <si>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</si>
  <si>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</si>
  <si>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</si>
  <si>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</si>
  <si>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</si>
  <si>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</si>
  <si>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</si>
  <si>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</si>
  <si>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</si>
  <si>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</si>
  <si>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</si>
  <si>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</si>
  <si>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</si>
  <si>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</si>
  <si>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</si>
  <si>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</si>
  <si>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</si>
  <si>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</si>
  <si>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</si>
  <si>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</si>
  <si>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</si>
  <si>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</si>
  <si>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</si>
  <si>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</si>
  <si>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</si>
  <si>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</si>
  <si>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</si>
  <si>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</si>
  <si>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</si>
  <si>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</si>
  <si>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</si>
  <si>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</si>
  <si>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</si>
  <si>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</si>
  <si>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</si>
  <si>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</si>
  <si>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</si>
  <si>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</si>
  <si>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</si>
  <si>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</si>
  <si>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</si>
  <si>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</si>
  <si>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</si>
  <si>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</si>
  <si>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</si>
  <si>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</si>
  <si>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</si>
  <si>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</si>
  <si>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</si>
  <si>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</si>
  <si>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</si>
  <si>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</si>
  <si>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</si>
  <si>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</si>
  <si>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</si>
  <si>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</si>
  <si>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</si>
  <si>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</si>
  <si>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</si>
  <si>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</si>
  <si>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</si>
  <si>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</si>
  <si>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</si>
  <si>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</si>
  <si>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</si>
  <si>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</si>
  <si>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</si>
  <si>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</si>
  <si>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</si>
  <si>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</si>
  <si>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</si>
  <si>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</si>
  <si>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</si>
  <si>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</si>
  <si>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</si>
  <si>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</si>
  <si>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</si>
  <si>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</si>
  <si>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</si>
  <si>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</si>
  <si>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</si>
  <si>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</si>
  <si>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</si>
  <si>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</si>
  <si>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</si>
  <si>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</si>
  <si>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</si>
  <si>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</si>
  <si>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</si>
  <si>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</si>
  <si>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</si>
  <si>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</si>
  <si>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</si>
  <si>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</si>
  <si>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</si>
  <si>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</si>
  <si>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</si>
  <si>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</si>
  <si>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</si>
  <si>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</si>
  <si>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</si>
  <si>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</si>
  <si>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</si>
  <si>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</si>
  <si>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</si>
  <si>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</si>
  <si>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</si>
  <si>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</si>
  <si>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</si>
  <si>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</si>
  <si>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</si>
  <si>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</si>
  <si>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</si>
  <si>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</si>
  <si>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</si>
  <si>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</si>
  <si>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</si>
  <si>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</si>
  <si>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</si>
  <si>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</si>
  <si>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</si>
  <si>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</si>
  <si>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</si>
  <si>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</si>
  <si>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</si>
  <si>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</si>
  <si>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</si>
  <si>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</si>
  <si>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</si>
  <si>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</si>
  <si>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</si>
  <si>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</si>
  <si>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</si>
  <si>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</si>
  <si>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</si>
  <si>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</si>
  <si>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</si>
  <si>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</si>
  <si>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</si>
  <si>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</si>
  <si>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</si>
  <si>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</si>
  <si>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</si>
  <si>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</si>
  <si>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</si>
  <si>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</si>
  <si>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</si>
  <si>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</si>
  <si>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</si>
  <si>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</si>
  <si>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</si>
  <si>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</si>
  <si>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</si>
  <si>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</si>
  <si>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</si>
  <si>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</si>
  <si>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</si>
  <si>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</si>
  <si>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</si>
  <si>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</si>
  <si>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</si>
  <si>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</si>
  <si>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</si>
  <si>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</si>
  <si>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</si>
  <si>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</si>
  <si>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</si>
  <si>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</si>
  <si>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</si>
  <si>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</si>
  <si>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</si>
  <si>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</si>
  <si>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</si>
  <si>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</si>
  <si>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</si>
  <si>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</si>
  <si>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</si>
  <si>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</si>
  <si>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</si>
  <si>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</si>
  <si>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</si>
  <si>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</si>
  <si>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</si>
  <si>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</si>
  <si>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</si>
  <si>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</si>
  <si>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</si>
  <si>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</si>
  <si>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</si>
  <si>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</si>
  <si>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</si>
  <si>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</si>
  <si>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</si>
  <si>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</si>
  <si>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</si>
  <si>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</si>
  <si>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</si>
  <si>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</si>
  <si>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</si>
  <si>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</si>
  <si>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</si>
  <si>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</si>
  <si>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</si>
  <si>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</si>
  <si>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</si>
  <si>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</si>
  <si>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</si>
  <si>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</si>
  <si>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</si>
  <si>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</si>
  <si>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</si>
  <si>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</si>
  <si>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</si>
  <si>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</si>
  <si>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</si>
  <si>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</si>
  <si>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</si>
  <si>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</si>
  <si>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</si>
  <si>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</si>
  <si>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</si>
  <si>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</si>
  <si>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</si>
  <si>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</si>
  <si>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</si>
  <si>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</si>
  <si>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</si>
  <si>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</si>
  <si>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</si>
  <si>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</si>
  <si>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</si>
  <si>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</si>
  <si>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</si>
  <si>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</si>
  <si>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</si>
  <si>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</si>
  <si>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</si>
  <si>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</si>
  <si>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</si>
  <si>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</si>
  <si>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</si>
  <si>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</si>
  <si>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</si>
  <si>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</si>
  <si>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</si>
  <si>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</si>
  <si>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</si>
  <si>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</si>
  <si>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</si>
  <si>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</si>
  <si>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</si>
  <si>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</si>
  <si>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</si>
  <si>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</si>
  <si>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</si>
  <si>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</si>
  <si>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</si>
  <si>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</si>
  <si>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</si>
  <si>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</si>
  <si>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</si>
  <si>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</si>
  <si>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</si>
  <si>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</si>
  <si>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</si>
  <si>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</si>
  <si>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</si>
  <si>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</si>
  <si>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</si>
  <si>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</si>
  <si>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</si>
  <si>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</si>
  <si>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</si>
  <si>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</si>
  <si>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</si>
  <si>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</si>
  <si>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</si>
  <si>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</si>
  <si>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</si>
  <si>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</si>
  <si>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</si>
  <si>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</si>
  <si>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</si>
  <si>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</si>
  <si>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</si>
  <si>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</si>
  <si>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</si>
  <si>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</si>
  <si>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</si>
  <si>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</si>
  <si>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</si>
  <si>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</si>
  <si>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</si>
  <si>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</si>
  <si>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</si>
  <si>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</si>
  <si>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</si>
  <si>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</si>
  <si>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</si>
  <si>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</si>
  <si>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</si>
  <si>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</si>
  <si>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</si>
  <si>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</si>
  <si>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</si>
  <si>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</si>
  <si>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</si>
  <si>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</si>
  <si>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</si>
  <si>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</si>
  <si>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</si>
  <si>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</si>
  <si>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</si>
  <si>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</si>
  <si>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</si>
  <si>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</si>
  <si>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</si>
  <si>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</si>
  <si>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</si>
  <si>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</si>
  <si>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</si>
  <si>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</si>
  <si>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</si>
  <si>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</si>
  <si>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</si>
  <si>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</si>
  <si>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</si>
  <si>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</si>
  <si>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</si>
  <si>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</si>
  <si>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</si>
  <si>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</si>
  <si>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</si>
  <si>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</si>
  <si>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</si>
  <si>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</si>
  <si>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</si>
  <si>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</si>
  <si>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</si>
  <si>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</si>
  <si>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</si>
  <si>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</si>
  <si>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</si>
  <si>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</si>
  <si>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</si>
  <si>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</si>
  <si>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</si>
  <si>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</si>
  <si>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</si>
  <si>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</si>
  <si>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</si>
  <si>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</si>
  <si>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</si>
  <si>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</si>
  <si>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</si>
  <si>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</si>
  <si>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</si>
  <si>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</si>
  <si>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</si>
  <si>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</si>
  <si>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</si>
  <si>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</si>
  <si>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</si>
  <si>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</si>
  <si>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</si>
  <si>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</si>
  <si>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</si>
  <si>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</si>
  <si>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</si>
  <si>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</si>
  <si>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</si>
  <si>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</si>
  <si>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</si>
  <si>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</si>
  <si>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</si>
  <si>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</si>
  <si>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</si>
  <si>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</si>
  <si>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</si>
  <si>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</si>
  <si>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</si>
  <si>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</si>
  <si>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</si>
  <si>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</si>
  <si>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</si>
  <si>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</si>
  <si>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</si>
  <si>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</si>
  <si>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</si>
  <si>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</si>
  <si>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</si>
  <si>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</si>
  <si>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</si>
  <si>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</si>
  <si>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</si>
  <si>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</si>
  <si>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</si>
  <si>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</si>
  <si>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</si>
  <si>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</si>
  <si>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</si>
  <si>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</si>
  <si>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</si>
  <si>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</si>
  <si>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</si>
  <si>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</si>
  <si>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</si>
  <si>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</si>
  <si>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</si>
  <si>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</si>
  <si>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</si>
  <si>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</si>
  <si>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</si>
  <si>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</si>
  <si>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</si>
  <si>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</si>
  <si>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</si>
  <si>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</si>
  <si>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</si>
  <si>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</si>
  <si>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</si>
  <si>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</si>
  <si>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</si>
  <si>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</si>
  <si>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</si>
  <si>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</si>
  <si>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</si>
  <si>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</si>
  <si>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</si>
  <si>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</si>
  <si>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</si>
  <si>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</si>
  <si>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</si>
  <si>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</si>
  <si>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</si>
  <si>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</si>
  <si>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</si>
  <si>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</si>
  <si>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</si>
  <si>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</si>
  <si>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</si>
  <si>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</si>
  <si>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</si>
  <si>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</si>
  <si>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</si>
  <si>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</si>
  <si>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</si>
  <si>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</si>
  <si>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</si>
  <si>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</si>
  <si>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</si>
  <si>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</si>
  <si>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</si>
  <si>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</si>
  <si>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</si>
  <si>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</si>
  <si>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</si>
  <si>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</si>
  <si>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</si>
  <si>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</si>
  <si>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</si>
  <si>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</si>
  <si>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</si>
  <si>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</si>
  <si>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</si>
  <si>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</si>
  <si>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</si>
  <si>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</si>
  <si>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</si>
  <si>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</si>
  <si>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</si>
  <si>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</si>
  <si>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</si>
  <si>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</si>
  <si>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</si>
  <si>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</si>
  <si>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</si>
  <si>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</si>
  <si>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</si>
  <si>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</si>
  <si>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</si>
  <si>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</si>
  <si>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</si>
  <si>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</si>
  <si>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</si>
  <si>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</si>
  <si>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</si>
  <si>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</si>
  <si>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</si>
  <si>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</si>
  <si>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</si>
  <si>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</si>
  <si>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</si>
  <si>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</si>
  <si>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</si>
  <si>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</si>
  <si>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</si>
  <si>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</si>
  <si>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</si>
  <si>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</si>
  <si>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</si>
  <si>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</si>
  <si>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</si>
  <si>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</si>
  <si>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</si>
  <si>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</si>
  <si>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</si>
  <si>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</si>
  <si>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</si>
  <si>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</si>
  <si>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</si>
  <si>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</si>
  <si>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</si>
  <si>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</si>
  <si>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</si>
  <si>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</si>
  <si>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</si>
  <si>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</si>
  <si>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</si>
  <si>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</si>
  <si>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</si>
  <si>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</si>
  <si>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</si>
  <si>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</si>
  <si>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</si>
  <si>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</si>
  <si>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</si>
  <si>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</si>
  <si>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</si>
  <si>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</si>
  <si>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</si>
  <si>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</si>
  <si>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</si>
  <si>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</si>
  <si>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</si>
  <si>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</si>
  <si>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</si>
  <si>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</si>
  <si>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</si>
  <si>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</si>
  <si>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</si>
  <si>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</si>
  <si>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</si>
  <si>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</si>
  <si>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</si>
  <si>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</si>
  <si>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</si>
  <si>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</si>
  <si>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</si>
  <si>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</si>
  <si>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</si>
  <si>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</si>
  <si>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</si>
  <si>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</si>
  <si>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</si>
  <si>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</si>
  <si>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</si>
  <si>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</si>
  <si>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</si>
  <si>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</si>
  <si>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</si>
  <si>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</si>
  <si>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</si>
  <si>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</si>
  <si>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</si>
  <si>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</si>
  <si>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</si>
  <si>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</si>
  <si>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</si>
  <si>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</si>
  <si>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</si>
  <si>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</si>
  <si>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</si>
  <si>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</si>
  <si>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</si>
  <si>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</si>
  <si>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</si>
  <si>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</si>
  <si>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</si>
  <si>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</si>
  <si>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</si>
  <si>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</si>
  <si>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</si>
  <si>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</si>
  <si>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</si>
  <si>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</si>
  <si>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</si>
  <si>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</si>
  <si>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</si>
  <si>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</si>
  <si>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</si>
  <si>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</si>
  <si>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</si>
  <si>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</si>
  <si>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</si>
  <si>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</si>
  <si>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</si>
  <si>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</si>
  <si>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</si>
  <si>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</si>
  <si>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</si>
  <si>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</si>
  <si>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</si>
  <si>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</si>
  <si>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</si>
  <si>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</si>
  <si>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</si>
  <si>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</si>
  <si>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</si>
  <si>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</si>
  <si>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</si>
  <si>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</si>
  <si>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</si>
  <si>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</si>
  <si>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</si>
  <si>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</si>
  <si>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</si>
  <si>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</si>
  <si>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</si>
  <si>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</si>
  <si>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</si>
  <si>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</si>
  <si>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</si>
  <si>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</si>
  <si>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</si>
  <si>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</si>
  <si>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</si>
  <si>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</si>
  <si>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</si>
  <si>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</si>
  <si>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</si>
  <si>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</si>
  <si>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</si>
  <si>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</si>
  <si>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</si>
  <si>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</si>
  <si>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</si>
  <si>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</si>
  <si>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</si>
  <si>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</si>
  <si>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</si>
  <si>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</si>
  <si>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</si>
  <si>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</si>
  <si>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</si>
  <si>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</si>
  <si>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</si>
  <si>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</si>
  <si>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</si>
  <si>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</si>
  <si>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</si>
  <si>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</si>
  <si>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</si>
  <si>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</si>
  <si>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</si>
  <si>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</si>
  <si>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</si>
  <si>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</si>
  <si>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</si>
  <si>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</si>
  <si>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</si>
  <si>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</si>
  <si>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</si>
  <si>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</si>
  <si>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</si>
  <si>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</si>
  <si>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</si>
  <si>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</si>
  <si>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</si>
  <si>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</si>
  <si>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</si>
  <si>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</si>
  <si>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</si>
  <si>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</si>
  <si>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</si>
  <si>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</si>
  <si>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</si>
  <si>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</si>
  <si>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</si>
  <si>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</si>
  <si>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</si>
  <si>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</si>
  <si>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</si>
  <si>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</si>
  <si>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</si>
  <si>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</si>
  <si>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</si>
  <si>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</si>
  <si>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</si>
  <si>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</si>
  <si>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</si>
  <si>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</si>
  <si>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</si>
  <si>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</si>
  <si>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</si>
  <si>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</si>
  <si>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</si>
  <si>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</si>
  <si>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</si>
  <si>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</si>
  <si>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</si>
  <si>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</si>
  <si>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</si>
  <si>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</si>
  <si>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</si>
  <si>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</si>
  <si>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</si>
  <si>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</si>
  <si>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</si>
  <si>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</si>
  <si>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</si>
  <si>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</si>
  <si>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</si>
  <si>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</si>
  <si>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</si>
  <si>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</si>
  <si>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</si>
  <si>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</si>
  <si>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</si>
  <si>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</si>
  <si>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</si>
  <si>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</si>
  <si>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</si>
  <si>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</si>
  <si>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</si>
  <si>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</si>
  <si>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</si>
  <si>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</si>
  <si>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</si>
  <si>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</si>
  <si>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</si>
  <si>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</si>
  <si>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</si>
  <si>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</si>
  <si>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</si>
  <si>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</si>
  <si>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</si>
  <si>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</si>
  <si>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</si>
  <si>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</si>
  <si>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</si>
  <si>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</si>
  <si>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</si>
  <si>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</si>
  <si>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</si>
  <si>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</si>
  <si>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</si>
  <si>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</si>
  <si>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</si>
  <si>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</si>
  <si>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</si>
  <si>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</si>
  <si>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</si>
  <si>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</si>
  <si>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</si>
  <si>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</si>
  <si>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</si>
  <si>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</si>
  <si>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</si>
  <si>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</si>
  <si>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</si>
  <si>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</si>
  <si>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</si>
  <si>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</si>
  <si>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</si>
  <si>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</si>
  <si>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</si>
  <si>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</si>
  <si>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</si>
  <si>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</si>
  <si>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</si>
  <si>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</si>
  <si>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</si>
  <si>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</si>
  <si>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</si>
  <si>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</si>
  <si>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</si>
  <si>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</si>
  <si>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</si>
  <si>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</si>
  <si>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</si>
  <si>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</si>
  <si>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</si>
  <si>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</si>
  <si>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</si>
  <si>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</si>
  <si>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</si>
  <si>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</si>
  <si>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</si>
  <si>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</si>
  <si>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</si>
  <si>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</si>
  <si>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</si>
  <si>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</si>
  <si>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</si>
  <si>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</si>
  <si>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</si>
  <si>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</si>
  <si>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</si>
  <si>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</si>
  <si>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</si>
  <si>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</si>
  <si>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</si>
  <si>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</si>
  <si>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</si>
  <si>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</si>
  <si>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</si>
  <si>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</si>
  <si>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</si>
  <si>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</si>
  <si>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</si>
  <si>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</si>
  <si>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</si>
  <si>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</si>
  <si>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</si>
  <si>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</si>
  <si>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</si>
  <si>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</si>
  <si>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</si>
  <si>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</si>
  <si>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</si>
  <si>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</si>
  <si>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</si>
  <si>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</si>
  <si>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</si>
  <si>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</si>
  <si>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</si>
  <si>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</si>
  <si>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</si>
  <si>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</si>
  <si>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</si>
  <si>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</si>
  <si>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</si>
  <si>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</si>
  <si>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</si>
  <si>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</si>
  <si>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</si>
  <si>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</si>
  <si>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</si>
  <si>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</si>
  <si>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</si>
  <si>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</si>
  <si>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</si>
  <si>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</si>
  <si>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</si>
  <si>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</si>
  <si>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</si>
  <si>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</si>
  <si>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</si>
  <si>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</si>
  <si>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</si>
  <si>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</si>
  <si>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</si>
  <si>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</si>
  <si>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</si>
  <si>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</si>
  <si>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</si>
  <si>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</si>
  <si>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</si>
  <si>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</si>
  <si>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</si>
  <si>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</si>
  <si>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</si>
  <si>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</si>
  <si>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</si>
  <si>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</si>
  <si>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</si>
  <si>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</si>
  <si>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</si>
  <si>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</si>
  <si>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</si>
  <si>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</si>
  <si>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</si>
  <si>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</si>
  <si>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</si>
  <si>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</si>
  <si>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</si>
  <si>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</si>
  <si>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</si>
  <si>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</si>
  <si>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</si>
  <si>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</si>
  <si>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</si>
  <si>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</si>
  <si>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</si>
  <si>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</si>
  <si>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</si>
  <si>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</si>
  <si>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</si>
  <si>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</si>
  <si>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</si>
  <si>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</si>
  <si>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</si>
  <si>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</si>
  <si>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</si>
  <si>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</si>
  <si>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</si>
  <si>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</si>
  <si>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</si>
  <si>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</si>
  <si>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</si>
  <si>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</si>
  <si>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</si>
  <si>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</si>
  <si>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</si>
  <si>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</si>
  <si>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</si>
  <si>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</si>
  <si>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</si>
  <si>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</si>
  <si>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</si>
  <si>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</si>
  <si>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</si>
  <si>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</si>
  <si>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</si>
  <si>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</si>
  <si>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</si>
  <si>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</si>
  <si>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</si>
  <si>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</si>
  <si>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</si>
  <si>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</si>
  <si>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</si>
  <si>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</si>
  <si>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</si>
  <si>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</si>
  <si>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</si>
  <si>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</si>
  <si>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</si>
  <si>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</si>
  <si>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</si>
  <si>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</si>
  <si>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</si>
  <si>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</si>
  <si>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</si>
  <si>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</si>
  <si>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</si>
  <si>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</si>
  <si>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</si>
  <si>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</si>
  <si>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</si>
  <si>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</si>
  <si>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</si>
  <si>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</si>
  <si>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</si>
  <si>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</si>
  <si>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</si>
  <si>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</si>
  <si>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</si>
  <si>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</si>
  <si>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</si>
  <si>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</si>
  <si>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</si>
  <si>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</si>
  <si>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</si>
  <si>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</si>
  <si>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</si>
  <si>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</si>
  <si>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</si>
  <si>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</si>
  <si>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</si>
  <si>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</si>
  <si>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</si>
  <si>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</si>
  <si>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</si>
  <si>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</si>
  <si>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</si>
  <si>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</si>
  <si>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</si>
  <si>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</si>
  <si>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</si>
  <si>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</si>
  <si>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</si>
  <si>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</si>
  <si>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</si>
  <si>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</si>
  <si>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</si>
  <si>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</si>
  <si>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</si>
  <si>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</si>
  <si>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</si>
  <si>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</si>
  <si>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</si>
  <si>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</si>
  <si>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</si>
  <si>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</si>
  <si>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</si>
  <si>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</si>
  <si>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</si>
  <si>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</si>
  <si>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</si>
  <si>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</si>
  <si>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</si>
  <si>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</si>
  <si>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</si>
  <si>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</si>
  <si>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</si>
  <si>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</si>
  <si>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</si>
  <si>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</si>
  <si>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</si>
  <si>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</si>
  <si>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</si>
  <si>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</si>
  <si>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</si>
  <si>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</si>
  <si>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</si>
  <si>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</si>
  <si>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</si>
  <si>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</si>
  <si>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</si>
  <si>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</si>
  <si>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</si>
  <si>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</si>
  <si>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</si>
  <si>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</si>
  <si>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</si>
  <si>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</si>
  <si>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</si>
  <si>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</si>
  <si>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</si>
  <si>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</si>
  <si>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</si>
  <si>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</si>
  <si>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</si>
  <si>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</si>
  <si>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</si>
  <si>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</si>
  <si>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</si>
  <si>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</si>
  <si>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</si>
  <si>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</si>
  <si>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</si>
  <si>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</si>
  <si>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</si>
  <si>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</si>
  <si>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</si>
  <si>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</si>
  <si>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</si>
  <si>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</si>
  <si>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</si>
  <si>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</si>
  <si>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</si>
  <si>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</si>
  <si>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</si>
  <si>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</si>
  <si>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</si>
  <si>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</si>
  <si>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</si>
  <si>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</si>
  <si>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</si>
  <si>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</si>
  <si>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</si>
  <si>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</si>
  <si>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</si>
  <si>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</si>
  <si>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</si>
  <si>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</si>
  <si>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</si>
  <si>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</si>
  <si>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</si>
  <si>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</si>
  <si>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</si>
  <si>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</si>
  <si>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</si>
  <si>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</si>
  <si>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</si>
  <si>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</si>
  <si>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</si>
  <si>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</si>
  <si>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</si>
  <si>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</si>
  <si>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</si>
  <si>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</si>
  <si>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</si>
  <si>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</si>
  <si>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</si>
  <si>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</si>
  <si>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</si>
  <si>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</si>
  <si>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</si>
  <si>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</si>
  <si>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</si>
  <si>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</si>
  <si>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</si>
  <si>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</si>
  <si>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</si>
  <si>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</si>
  <si>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</si>
  <si>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</si>
  <si>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</si>
  <si>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</si>
  <si>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</si>
  <si>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</si>
  <si>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</si>
  <si>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</si>
  <si>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</si>
  <si>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</si>
  <si>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</si>
  <si>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</si>
  <si>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</si>
  <si>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</si>
  <si>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</si>
  <si>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</si>
  <si>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</si>
  <si>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</si>
  <si>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</si>
  <si>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</si>
  <si>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</si>
  <si>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</si>
  <si>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</si>
  <si>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</si>
  <si>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</si>
  <si>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</si>
  <si>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</si>
  <si>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</si>
  <si>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</si>
  <si>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</si>
  <si>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</si>
  <si>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</si>
  <si>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</si>
  <si>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</si>
  <si>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</si>
  <si>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</si>
  <si>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</si>
  <si>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</si>
  <si>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</si>
  <si>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</si>
  <si>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</si>
  <si>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</si>
  <si>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</si>
  <si>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</si>
  <si>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</si>
  <si>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</si>
  <si>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</si>
  <si>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</si>
  <si>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</si>
  <si>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</si>
  <si>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</si>
  <si>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</si>
  <si>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</si>
  <si>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</si>
  <si>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</si>
  <si>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</si>
  <si>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</si>
  <si>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</si>
  <si>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</si>
  <si>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</si>
  <si>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</si>
  <si>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</si>
  <si>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</si>
  <si>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</si>
  <si>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</si>
  <si>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</si>
  <si>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</si>
  <si>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</si>
  <si>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</si>
  <si>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</si>
  <si>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</si>
  <si>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</si>
  <si>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</si>
  <si>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</si>
  <si>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</si>
  <si>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</si>
  <si>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</si>
  <si>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</si>
  <si>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</si>
  <si>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</si>
  <si>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</si>
  <si>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</si>
  <si>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</si>
  <si>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</si>
  <si>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</si>
  <si>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</si>
  <si>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</si>
  <si>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</si>
  <si>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</si>
  <si>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</si>
  <si>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</si>
  <si>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</si>
  <si>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</si>
  <si>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</si>
  <si>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</si>
  <si>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</si>
  <si>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</si>
  <si>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</si>
  <si>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</si>
  <si>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</si>
  <si>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</si>
  <si>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</si>
  <si>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</si>
  <si>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</si>
  <si>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</si>
  <si>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</si>
  <si>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</si>
  <si>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</si>
  <si>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</si>
  <si>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</si>
  <si>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</si>
  <si>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</si>
  <si>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</si>
  <si>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</si>
  <si>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</si>
  <si>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</si>
  <si>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</si>
  <si>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</si>
  <si>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</si>
  <si>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</si>
  <si>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</si>
  <si>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</si>
  <si>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</si>
  <si>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</si>
  <si>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</si>
  <si>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</si>
  <si>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</si>
  <si>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</si>
  <si>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</si>
  <si>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</si>
  <si>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</si>
  <si>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</si>
  <si>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</si>
  <si>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</si>
  <si>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</si>
  <si>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</si>
  <si>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</si>
  <si>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</si>
  <si>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</si>
  <si>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</si>
  <si>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</si>
  <si>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</si>
  <si>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</si>
  <si>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</si>
  <si>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</si>
  <si>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</si>
  <si>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</si>
  <si>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</si>
  <si>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</si>
  <si>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</si>
  <si>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</si>
  <si>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</si>
  <si>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</si>
  <si>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</si>
  <si>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</si>
  <si>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</si>
  <si>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</si>
  <si>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</si>
  <si>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</si>
  <si>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</si>
  <si>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</si>
  <si>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</si>
  <si>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</si>
  <si>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</si>
  <si>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</si>
  <si>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</si>
  <si>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</si>
  <si>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</si>
  <si>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</si>
  <si>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</si>
  <si>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</si>
  <si>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</si>
  <si>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</si>
  <si>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</si>
  <si>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</si>
  <si>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</si>
  <si>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</si>
  <si>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</si>
  <si>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</si>
  <si>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</si>
  <si>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</si>
  <si>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</si>
  <si>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</si>
  <si>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</si>
  <si>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</si>
  <si>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</si>
  <si>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</si>
  <si>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</si>
  <si>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</si>
  <si>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</si>
  <si>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</si>
  <si>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</si>
  <si>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</si>
  <si>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</si>
  <si>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</si>
  <si>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</si>
  <si>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</si>
  <si>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</si>
  <si>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</si>
  <si>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</si>
  <si>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</si>
  <si>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</si>
  <si>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</si>
  <si>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</si>
  <si>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</si>
  <si>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</si>
  <si>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</si>
  <si>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</si>
  <si>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</si>
  <si>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</si>
  <si>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</si>
  <si>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</si>
  <si>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</si>
  <si>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</si>
  <si>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</si>
  <si>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</si>
  <si>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</si>
  <si>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</si>
  <si>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</si>
  <si>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</si>
  <si>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</si>
  <si>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</si>
  <si>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</si>
  <si>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</si>
  <si>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</si>
  <si>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</si>
  <si>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</si>
  <si>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</si>
  <si>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</si>
  <si>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</si>
  <si>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</si>
  <si>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</si>
  <si>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</si>
  <si>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</si>
  <si>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</si>
  <si>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</si>
  <si>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</si>
  <si>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</si>
  <si>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</si>
  <si>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</si>
  <si>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</si>
  <si>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</si>
  <si>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</si>
  <si>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</si>
  <si>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</si>
  <si>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</si>
  <si>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</si>
  <si>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</si>
  <si>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</si>
  <si>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</si>
  <si>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</si>
  <si>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</si>
  <si>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</si>
  <si>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</si>
  <si>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</si>
  <si>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</si>
  <si>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</si>
  <si>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</si>
  <si>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</si>
  <si>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</si>
  <si>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</si>
  <si>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</si>
  <si>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</si>
  <si>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</si>
  <si>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</si>
  <si>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</si>
  <si>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</si>
  <si>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</si>
  <si>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</si>
  <si>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</si>
  <si>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</si>
  <si>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</si>
  <si>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</si>
  <si>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</si>
  <si>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</si>
  <si>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</si>
  <si>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</si>
  <si>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</si>
  <si>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</si>
  <si>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</si>
  <si>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</si>
  <si>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</si>
  <si>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</si>
  <si>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</si>
  <si>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</si>
  <si>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</si>
  <si>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</si>
  <si>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</si>
  <si>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</si>
  <si>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</si>
  <si>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</si>
  <si>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</si>
  <si>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</si>
  <si>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</si>
  <si>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</si>
  <si>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</si>
  <si>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</si>
  <si>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</si>
  <si>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</si>
  <si>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</si>
  <si>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</si>
  <si>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</si>
  <si>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</si>
  <si>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</si>
  <si>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</si>
  <si>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</si>
  <si>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</si>
  <si>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</si>
  <si>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</si>
  <si>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</si>
  <si>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</si>
  <si>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</si>
  <si>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</si>
  <si>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</si>
  <si>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</si>
  <si>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</si>
  <si>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</si>
  <si>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</si>
  <si>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</si>
  <si>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</si>
  <si>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</si>
  <si>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</si>
  <si>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</si>
  <si>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</si>
  <si>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</si>
  <si>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</si>
  <si>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</si>
  <si>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</si>
  <si>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</si>
  <si>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</si>
  <si>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</si>
  <si>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</si>
  <si>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</si>
  <si>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</si>
  <si>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</si>
  <si>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</si>
  <si>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</si>
  <si>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</si>
  <si>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</si>
  <si>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</si>
  <si>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</si>
  <si>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</si>
  <si>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</si>
  <si>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</si>
  <si>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</si>
  <si>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</si>
  <si>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</si>
  <si>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</si>
  <si>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</si>
  <si>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</si>
  <si>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</si>
  <si>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</si>
  <si>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</si>
  <si>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</si>
  <si>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</si>
  <si>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</si>
  <si>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</si>
  <si>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</si>
  <si>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</si>
  <si>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</si>
  <si>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</si>
  <si>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</si>
  <si>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</si>
  <si>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</si>
  <si>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</si>
  <si>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</si>
  <si>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</si>
  <si>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</si>
  <si>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</si>
  <si>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</si>
  <si>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</si>
  <si>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</si>
  <si>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</si>
  <si>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</si>
  <si>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</si>
  <si>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</si>
  <si>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</si>
  <si>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</si>
  <si>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</si>
  <si>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</si>
  <si>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</si>
  <si>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</si>
  <si>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</si>
  <si>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</si>
  <si>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</si>
  <si>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</si>
  <si>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</si>
  <si>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</si>
  <si>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</si>
  <si>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</si>
  <si>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</si>
  <si>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</si>
  <si>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</si>
  <si>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</si>
  <si>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</si>
  <si>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</si>
  <si>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</si>
  <si>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</si>
  <si>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</si>
  <si>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</si>
  <si>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</si>
  <si>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</si>
  <si>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</si>
  <si>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</si>
  <si>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</si>
  <si>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</si>
  <si>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</si>
  <si>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</si>
  <si>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</si>
  <si>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</si>
  <si>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</si>
  <si>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</si>
  <si>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</si>
  <si>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</si>
  <si>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</si>
  <si>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</si>
  <si>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</si>
  <si>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</si>
  <si>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</si>
  <si>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</si>
  <si>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</si>
  <si>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</si>
  <si>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</si>
  <si>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</si>
  <si>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</si>
  <si>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</si>
  <si>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</si>
  <si>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</si>
  <si>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</si>
  <si>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</si>
  <si>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</si>
  <si>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</si>
  <si>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</si>
  <si>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</si>
  <si>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</si>
  <si>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</si>
  <si>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</si>
  <si>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</si>
  <si>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</si>
  <si>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</si>
  <si>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</si>
  <si>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</si>
  <si>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</si>
  <si>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</si>
  <si>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</si>
  <si>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</si>
  <si>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</si>
  <si>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</si>
  <si>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</si>
  <si>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</si>
  <si>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</si>
  <si>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</si>
  <si>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</si>
  <si>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</si>
  <si>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</si>
  <si>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</si>
  <si>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</si>
  <si>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</si>
  <si>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</si>
  <si>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</si>
  <si>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</si>
  <si>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</si>
  <si>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</si>
  <si>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</si>
  <si>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</si>
  <si>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</si>
  <si>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</si>
  <si>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</si>
  <si>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</si>
  <si>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</si>
  <si>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</si>
  <si>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</si>
  <si>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</si>
  <si>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</si>
  <si>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</si>
  <si>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</si>
  <si>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</si>
  <si>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</si>
  <si>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</si>
  <si>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</si>
  <si>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</si>
  <si>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</si>
  <si>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</si>
  <si>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</si>
  <si>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</si>
  <si>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</si>
  <si>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</si>
  <si>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</si>
  <si>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</si>
  <si>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</si>
  <si>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</si>
  <si>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</si>
  <si>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</si>
  <si>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</si>
  <si>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</si>
  <si>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</si>
  <si>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</si>
  <si>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</si>
  <si>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</si>
  <si>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</si>
  <si>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</si>
  <si>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</si>
  <si>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</si>
  <si>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</si>
  <si>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</si>
  <si>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</si>
  <si>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</si>
  <si>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</si>
  <si>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</si>
  <si>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</si>
  <si>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</si>
  <si>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</si>
  <si>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</si>
  <si>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</si>
  <si>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</si>
  <si>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</si>
  <si>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</si>
  <si>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</si>
  <si>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</si>
  <si>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</si>
  <si>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</si>
  <si>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</si>
  <si>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</si>
  <si>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</si>
  <si>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</si>
  <si>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</si>
  <si>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</si>
  <si>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</si>
  <si>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</si>
  <si>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</si>
  <si>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</si>
  <si>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</si>
  <si>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</si>
  <si>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</si>
  <si>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</si>
  <si>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</si>
  <si>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</si>
  <si>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</si>
  <si>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</si>
  <si>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</si>
  <si>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</si>
  <si>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</si>
  <si>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</si>
  <si>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</si>
  <si>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</si>
  <si>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</si>
  <si>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</si>
  <si>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</si>
  <si>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</si>
  <si>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</si>
  <si>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</si>
  <si>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</si>
  <si>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</si>
  <si>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</si>
  <si>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</si>
  <si>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</si>
  <si>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</si>
  <si>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</si>
  <si>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</si>
  <si>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</si>
  <si>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</si>
  <si>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</si>
  <si>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</si>
  <si>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</si>
  <si>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</si>
  <si>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</si>
  <si>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</si>
  <si>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</si>
  <si>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</si>
  <si>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</si>
  <si>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</si>
  <si>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</si>
  <si>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</si>
  <si>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</si>
  <si>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</si>
  <si>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</si>
  <si>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</si>
  <si>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</si>
  <si>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</si>
  <si>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</si>
  <si>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</si>
  <si>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</si>
  <si>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</si>
  <si>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</si>
  <si>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</si>
  <si>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</si>
  <si>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</si>
  <si>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</si>
  <si>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</si>
  <si>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</si>
  <si>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</si>
  <si>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</si>
  <si>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</si>
  <si>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</si>
  <si>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</si>
  <si>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</si>
  <si>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</si>
  <si>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</si>
  <si>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</si>
  <si>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</si>
  <si>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</si>
  <si>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</si>
  <si>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</si>
  <si>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</si>
  <si>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</si>
  <si>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</si>
  <si>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</si>
  <si>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</si>
  <si>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</si>
  <si>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</si>
  <si>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</si>
  <si>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</si>
  <si>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</si>
  <si>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</si>
  <si>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</si>
  <si>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</si>
  <si>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</si>
  <si>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</si>
  <si>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</si>
  <si>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</si>
  <si>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</si>
  <si>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</si>
  <si>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</si>
  <si>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</si>
  <si>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</si>
  <si>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</si>
  <si>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</si>
  <si>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</si>
  <si>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</si>
  <si>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</si>
  <si>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</si>
  <si>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</si>
  <si>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</si>
  <si>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</si>
  <si>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</si>
  <si>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</si>
  <si>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</si>
  <si>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</si>
  <si>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</si>
  <si>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</si>
  <si>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</si>
  <si>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</si>
  <si>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</si>
  <si>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</si>
  <si>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</si>
  <si>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</si>
  <si>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</si>
  <si>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</si>
  <si>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</si>
  <si>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</si>
  <si>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</si>
  <si>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</si>
  <si>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</si>
  <si>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</si>
  <si>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</si>
  <si>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</si>
  <si>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</si>
  <si>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</si>
  <si>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</si>
  <si>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</si>
  <si>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</si>
  <si>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</si>
  <si>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</si>
  <si>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</si>
  <si>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</si>
  <si>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</si>
  <si>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</si>
  <si>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</si>
  <si>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</si>
  <si>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</si>
  <si>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</si>
  <si>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</si>
  <si>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</si>
  <si>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</si>
  <si>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</si>
  <si>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</si>
  <si>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</si>
  <si>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</si>
  <si>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</si>
  <si>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</si>
  <si>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</si>
  <si>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</si>
  <si>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</si>
  <si>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</si>
  <si>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</si>
  <si>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</si>
  <si>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</si>
  <si>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</si>
  <si>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</si>
  <si>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</si>
  <si>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</si>
  <si>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</si>
  <si>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</si>
  <si>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</si>
  <si>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</si>
  <si>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</si>
  <si>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</si>
  <si>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</si>
  <si>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</si>
  <si>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</si>
  <si>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</si>
  <si>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</si>
  <si>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</si>
  <si>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</si>
  <si>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</si>
  <si>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</si>
  <si>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</si>
  <si>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</si>
  <si>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</si>
  <si>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</si>
  <si>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</si>
  <si>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</si>
  <si>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</si>
  <si>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</si>
  <si>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</si>
  <si>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</si>
  <si>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</si>
  <si>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</si>
  <si>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</si>
  <si>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</si>
  <si>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</si>
  <si>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</si>
  <si>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</si>
  <si>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</si>
  <si>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</si>
  <si>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</si>
  <si>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</si>
  <si>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</si>
  <si>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</si>
  <si>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</si>
  <si>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</si>
  <si>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</si>
  <si>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</si>
  <si>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</si>
  <si>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</si>
  <si>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</si>
  <si>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</si>
  <si>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</si>
  <si>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</si>
  <si>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</si>
  <si>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</si>
  <si>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</si>
  <si>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</si>
  <si>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</si>
  <si>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</si>
  <si>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</si>
  <si>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</si>
  <si>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</si>
  <si>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</si>
  <si>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</si>
  <si>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</si>
  <si>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</si>
  <si>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</si>
  <si>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</si>
  <si>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</si>
  <si>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</si>
  <si>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</si>
  <si>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</si>
  <si>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</si>
  <si>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</si>
  <si>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</si>
  <si>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</si>
  <si>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</si>
  <si>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</si>
  <si>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</si>
  <si>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</si>
  <si>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</si>
  <si>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</si>
  <si>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</si>
  <si>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</si>
  <si>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</si>
  <si>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</si>
  <si>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</si>
  <si>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</si>
  <si>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</si>
  <si>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</si>
  <si>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</si>
  <si>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</si>
  <si>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</si>
  <si>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</si>
  <si>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</si>
  <si>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</si>
  <si>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</si>
  <si>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</si>
  <si>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</si>
  <si>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</si>
  <si>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</si>
  <si>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</si>
  <si>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</si>
  <si>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</si>
  <si>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</si>
  <si>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</si>
  <si>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</si>
  <si>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</si>
  <si>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</si>
  <si>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</si>
  <si>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</si>
  <si>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</si>
  <si>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</si>
  <si>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</si>
  <si>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</si>
  <si>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</si>
  <si>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</si>
  <si>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</si>
  <si>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</si>
  <si>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</si>
  <si>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</si>
  <si>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</si>
  <si>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</si>
  <si>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</si>
  <si>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</si>
  <si>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</si>
  <si>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</si>
  <si>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</si>
  <si>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</si>
  <si>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</si>
  <si>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</si>
  <si>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</si>
  <si>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</si>
  <si>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</si>
  <si>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</si>
  <si>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</si>
  <si>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</si>
  <si>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</si>
  <si>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</si>
  <si>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</si>
  <si>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</si>
  <si>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</si>
  <si>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</si>
  <si>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</si>
  <si>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</si>
  <si>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</si>
  <si>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</si>
  <si>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</si>
  <si>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</si>
  <si>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</si>
  <si>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</si>
  <si>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</si>
  <si>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</si>
  <si>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</si>
  <si>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</si>
  <si>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</si>
  <si>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</si>
  <si>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</si>
  <si>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</si>
  <si>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</si>
  <si>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</si>
  <si>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</si>
  <si>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</si>
  <si>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</si>
  <si>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</si>
  <si>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</si>
  <si>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</si>
  <si>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</si>
  <si>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</si>
  <si>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</si>
  <si>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</si>
  <si>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</si>
  <si>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</si>
  <si>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</si>
  <si>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</si>
  <si>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</si>
  <si>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</si>
  <si>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</si>
  <si>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</si>
  <si>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</si>
  <si>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</si>
  <si>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</si>
  <si>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</si>
  <si>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</si>
  <si>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</si>
  <si>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</si>
  <si>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</si>
  <si>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</si>
  <si>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</si>
  <si>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</si>
  <si>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</si>
  <si>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</si>
  <si>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</si>
  <si>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</si>
  <si>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</si>
  <si>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</si>
  <si>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</si>
  <si>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</si>
  <si>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</si>
  <si>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</si>
  <si>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</si>
  <si>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</si>
  <si>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</si>
  <si>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</si>
  <si>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</si>
  <si>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</si>
  <si>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</si>
  <si>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</si>
  <si>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</si>
  <si>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</si>
  <si>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</si>
  <si>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</si>
  <si>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</si>
  <si>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</si>
  <si>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</si>
  <si>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</si>
  <si>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</si>
  <si>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</si>
  <si>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</si>
  <si>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</si>
  <si>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</si>
  <si>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</si>
  <si>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</si>
  <si>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</si>
  <si>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</si>
  <si>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</si>
  <si>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</si>
  <si>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</si>
  <si>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</si>
  <si>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</si>
  <si>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</si>
  <si>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</si>
  <si>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</si>
  <si>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</si>
  <si>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</si>
  <si>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</si>
  <si>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</si>
  <si>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</si>
  <si>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</si>
  <si>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</si>
  <si>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</si>
  <si>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</si>
  <si>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</si>
  <si>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</si>
  <si>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</si>
  <si>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</si>
  <si>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</si>
  <si>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</si>
  <si>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</si>
  <si>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</si>
  <si>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</si>
  <si>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</si>
  <si>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</si>
  <si>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</si>
  <si>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</si>
  <si>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</si>
  <si>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</si>
  <si>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</si>
  <si>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</si>
  <si>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</si>
  <si>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</si>
  <si>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</si>
  <si>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</si>
  <si>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</si>
  <si>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</si>
  <si>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</si>
  <si>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</si>
  <si>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</si>
  <si>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</si>
  <si>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</si>
  <si>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</si>
  <si>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</si>
  <si>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</si>
  <si>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</si>
  <si>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</si>
  <si>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</si>
  <si>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</si>
  <si>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</si>
  <si>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</si>
  <si>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</si>
  <si>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</si>
  <si>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</si>
  <si>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</si>
  <si>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</si>
  <si>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</si>
  <si>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</si>
  <si>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</si>
  <si>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</si>
  <si>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</si>
  <si>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</si>
  <si>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</si>
  <si>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</si>
  <si>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</si>
  <si>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</si>
  <si>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</si>
  <si>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</si>
  <si>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</si>
  <si>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</si>
  <si>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</si>
  <si>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</si>
  <si>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</si>
  <si>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</si>
  <si>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</si>
  <si>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</si>
  <si>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</si>
  <si>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</si>
  <si>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</si>
  <si>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</si>
  <si>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</si>
  <si>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</si>
  <si>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</si>
  <si>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</si>
  <si>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</si>
  <si>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</si>
  <si>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</si>
  <si>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</si>
  <si>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</si>
  <si>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</si>
  <si>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</si>
  <si>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</si>
  <si>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</si>
  <si>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</si>
  <si>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</si>
  <si>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</si>
  <si>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</si>
  <si>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</si>
  <si>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</si>
  <si>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</si>
  <si>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</si>
  <si>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</si>
  <si>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</si>
  <si>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</si>
  <si>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</si>
  <si>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</si>
  <si>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</si>
  <si>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</si>
  <si>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</si>
  <si>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</si>
  <si>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</si>
  <si>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</si>
  <si>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</si>
  <si>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</si>
  <si>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</si>
  <si>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</si>
  <si>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</si>
  <si>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</si>
  <si>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</si>
  <si>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</si>
  <si>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</si>
  <si>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</si>
  <si>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</si>
  <si>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</si>
  <si>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</si>
  <si>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</si>
  <si>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</si>
  <si>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</si>
  <si>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</si>
  <si>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</si>
  <si>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</si>
  <si>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</si>
  <si>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</si>
  <si>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</si>
  <si>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</si>
  <si>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</si>
  <si>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</si>
  <si>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</si>
  <si>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</si>
  <si>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</si>
  <si>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</si>
  <si>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</si>
  <si>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</si>
  <si>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</si>
  <si>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</si>
  <si>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</si>
  <si>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</si>
  <si>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</si>
  <si>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</si>
  <si>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</si>
  <si>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</si>
  <si>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</si>
  <si>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</si>
  <si>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</si>
  <si>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</si>
  <si>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</si>
  <si>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</si>
  <si>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</si>
  <si>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</si>
  <si>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</si>
  <si>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</si>
  <si>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</si>
  <si>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</si>
  <si>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</si>
  <si>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</si>
  <si>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</si>
  <si>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</si>
  <si>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</si>
  <si>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</si>
  <si>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</si>
  <si>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</si>
  <si>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</si>
  <si>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</si>
  <si>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</si>
  <si>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</si>
  <si>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</si>
  <si>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</si>
  <si>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</si>
  <si>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</si>
  <si>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</si>
  <si>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</si>
  <si>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</si>
  <si>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</si>
  <si>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</si>
  <si>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</si>
  <si>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</si>
  <si>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</si>
  <si>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</si>
  <si>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</si>
  <si>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</si>
  <si>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</si>
  <si>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</si>
  <si>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</si>
  <si>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</si>
  <si>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</si>
  <si>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</si>
  <si>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</si>
  <si>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</si>
  <si>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</si>
  <si>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</si>
  <si>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</si>
  <si>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</si>
  <si>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</si>
  <si>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</si>
  <si>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</si>
  <si>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</si>
  <si>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</si>
  <si>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</si>
  <si>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</si>
  <si>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</si>
  <si>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</si>
  <si>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</si>
  <si>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</si>
  <si>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</si>
  <si>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</si>
  <si>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</si>
  <si>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</si>
  <si>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</si>
  <si>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</si>
  <si>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</si>
  <si>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</si>
  <si>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</si>
  <si>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</si>
  <si>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</si>
  <si>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</si>
  <si>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</si>
  <si>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</si>
  <si>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</si>
  <si>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</si>
  <si>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</si>
  <si>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</si>
  <si>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</si>
  <si>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</si>
  <si>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</si>
  <si>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</si>
  <si>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</si>
  <si>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</si>
  <si>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</si>
  <si>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</si>
  <si>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</si>
  <si>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</si>
  <si>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</si>
  <si>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</si>
  <si>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</si>
  <si>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</si>
  <si>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</si>
  <si>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</si>
  <si>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</si>
  <si>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</si>
  <si>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</si>
  <si>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</si>
  <si>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</si>
  <si>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</si>
  <si>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</si>
  <si>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</si>
  <si>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</si>
  <si>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</si>
  <si>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</si>
  <si>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</si>
  <si>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</si>
  <si>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</si>
  <si>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</si>
  <si>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</si>
  <si>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</si>
  <si>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</si>
  <si>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</si>
  <si>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</si>
  <si>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</si>
  <si>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</si>
  <si>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</si>
  <si>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</si>
  <si>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</si>
  <si>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</si>
  <si>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</si>
  <si>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</si>
  <si>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</si>
  <si>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</si>
  <si>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</si>
  <si>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</si>
  <si>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</si>
  <si>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</si>
  <si>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</si>
  <si>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</si>
  <si>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</si>
  <si>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</si>
  <si>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</si>
  <si>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</si>
  <si>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</si>
  <si>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</si>
  <si>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</si>
  <si>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</si>
  <si>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</si>
  <si>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</si>
  <si>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</si>
  <si>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</si>
  <si>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</si>
  <si>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</si>
  <si>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</si>
  <si>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</si>
  <si>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</si>
  <si>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</si>
  <si>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</si>
  <si>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</si>
  <si>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</si>
  <si>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</si>
  <si>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</si>
  <si>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</si>
  <si>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</si>
  <si>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</si>
  <si>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</si>
  <si>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</si>
  <si>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</si>
  <si>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</si>
  <si>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</si>
  <si>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</si>
  <si>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</si>
  <si>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</si>
  <si>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</si>
  <si>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</si>
  <si>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</si>
  <si>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</si>
  <si>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</si>
  <si>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</si>
  <si>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</si>
  <si>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</si>
  <si>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</si>
  <si>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</si>
  <si>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</si>
  <si>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</si>
  <si>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</si>
  <si>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</si>
  <si>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</si>
  <si>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</si>
  <si>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</si>
  <si>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</si>
  <si>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</si>
  <si>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</si>
  <si>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</si>
  <si>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</si>
  <si>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</si>
  <si>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</si>
  <si>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</si>
  <si>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</si>
  <si>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</si>
  <si>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</si>
  <si>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</si>
  <si>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</si>
  <si>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</si>
  <si>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</si>
  <si>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</si>
  <si>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</si>
  <si>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</si>
  <si>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</si>
  <si>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</si>
  <si>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</si>
  <si>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</si>
  <si>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</si>
  <si>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</si>
  <si>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</si>
  <si>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</si>
  <si>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</si>
  <si>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</si>
  <si>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</si>
  <si>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</si>
  <si>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</si>
  <si>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</si>
  <si>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</si>
  <si>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</si>
  <si>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</si>
  <si>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</si>
  <si>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</si>
  <si>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</si>
  <si>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</si>
  <si>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</si>
  <si>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</si>
  <si>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</si>
  <si>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</si>
  <si>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</si>
  <si>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</si>
  <si>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</si>
  <si>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</si>
  <si>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</si>
  <si>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</si>
  <si>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</si>
  <si>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</si>
  <si>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</si>
  <si>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</si>
  <si>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</si>
  <si>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</si>
  <si>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</si>
  <si>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</si>
  <si>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</si>
  <si>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</si>
  <si>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</si>
  <si>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</si>
  <si>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</si>
  <si>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</si>
  <si>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</si>
  <si>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</si>
  <si>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</si>
  <si>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</si>
  <si>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</si>
  <si>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</si>
  <si>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</si>
  <si>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</si>
  <si>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</si>
  <si>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</si>
  <si>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</si>
  <si>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</si>
  <si>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</si>
  <si>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</si>
  <si>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</si>
  <si>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</si>
  <si>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</si>
  <si>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</si>
  <si>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</si>
  <si>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</si>
  <si>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</si>
  <si>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</si>
  <si>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</si>
  <si>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</si>
  <si>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</si>
  <si>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</si>
  <si>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</si>
  <si>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</si>
  <si>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</si>
  <si>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</si>
  <si>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</si>
  <si>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</si>
  <si>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</si>
  <si>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</si>
  <si>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</si>
  <si>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</si>
  <si>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</si>
  <si>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</si>
  <si>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</si>
  <si>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</si>
  <si>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</si>
  <si>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</si>
  <si>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</si>
  <si>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</si>
  <si>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</si>
  <si>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</si>
  <si>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</si>
  <si>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</si>
  <si>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</si>
  <si>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</si>
  <si>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</si>
  <si>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</si>
  <si>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</si>
  <si>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</si>
  <si>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</si>
  <si>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</si>
  <si>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</si>
  <si>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</si>
  <si>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</si>
  <si>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</si>
  <si>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</si>
  <si>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</si>
  <si>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</si>
  <si>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</si>
  <si>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</si>
  <si>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</si>
  <si>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</si>
  <si>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</si>
  <si>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</si>
  <si>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</si>
  <si>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</si>
  <si>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</si>
  <si>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</si>
  <si>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</si>
  <si>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</si>
  <si>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</si>
  <si>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</si>
  <si>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</si>
  <si>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</si>
  <si>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</si>
  <si>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</si>
  <si>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</si>
  <si>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</si>
  <si>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</si>
  <si>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</si>
  <si>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</si>
  <si>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</si>
  <si>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</si>
  <si>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</si>
  <si>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</si>
  <si>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</si>
  <si>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</si>
  <si>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</si>
  <si>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</si>
  <si>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</si>
  <si>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</si>
  <si>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</si>
  <si>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</si>
  <si>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</si>
  <si>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</si>
  <si>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</si>
  <si>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</si>
  <si>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</si>
  <si>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</si>
  <si>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</si>
  <si>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</si>
  <si>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</si>
  <si>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</si>
  <si>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</si>
  <si>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</si>
  <si>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</si>
  <si>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</si>
  <si>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</si>
  <si>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</si>
  <si>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</si>
  <si>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</si>
  <si>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</si>
  <si>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</si>
  <si>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</si>
  <si>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</si>
  <si>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</si>
  <si>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</si>
  <si>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</si>
  <si>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</si>
  <si>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</si>
  <si>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</si>
  <si>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</si>
  <si>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</si>
  <si>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</si>
  <si>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</si>
  <si>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</si>
  <si>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</si>
  <si>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</si>
  <si>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</si>
  <si>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</si>
  <si>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</si>
  <si>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</si>
  <si>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</si>
  <si>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</si>
  <si>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</si>
  <si>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</si>
  <si>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</si>
  <si>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</si>
  <si>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</si>
  <si>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</si>
  <si>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</si>
  <si>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</si>
  <si>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</si>
  <si>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</si>
  <si>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</si>
  <si>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</si>
  <si>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</si>
  <si>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</si>
  <si>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</si>
  <si>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</si>
  <si>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</si>
  <si>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</si>
  <si>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</si>
  <si>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</si>
  <si>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</si>
  <si>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</si>
  <si>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</si>
  <si>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</si>
  <si>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</si>
  <si>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</si>
  <si>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</si>
  <si>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</si>
  <si>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</si>
  <si>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</si>
  <si>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</si>
  <si>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</si>
  <si>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</si>
  <si>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</si>
  <si>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</si>
  <si>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</si>
  <si>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</si>
  <si>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</si>
  <si>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</si>
  <si>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</si>
  <si>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</si>
  <si>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</si>
  <si>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</si>
  <si>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</si>
  <si>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</si>
  <si>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</si>
  <si>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</si>
  <si>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</si>
  <si>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</si>
  <si>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</si>
  <si>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</si>
  <si>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</si>
  <si>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</si>
  <si>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</si>
  <si>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</si>
  <si>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</si>
  <si>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</si>
  <si>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</si>
  <si>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</si>
  <si>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</si>
  <si>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</si>
  <si>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</si>
  <si>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</si>
  <si>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</si>
  <si>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</si>
  <si>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</si>
  <si>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</si>
  <si>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</si>
  <si>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</si>
  <si>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</si>
  <si>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</si>
  <si>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</si>
  <si>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</si>
  <si>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</si>
  <si>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</si>
  <si>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</si>
  <si>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</si>
  <si>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</si>
  <si>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</si>
  <si>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</si>
  <si>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</si>
  <si>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</si>
  <si>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</si>
  <si>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</si>
  <si>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</si>
  <si>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</si>
  <si>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</si>
  <si>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</si>
  <si>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</si>
  <si>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</si>
  <si>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</si>
  <si>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</si>
  <si>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</si>
  <si>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</si>
  <si>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</si>
  <si>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</si>
  <si>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</si>
  <si>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</si>
  <si>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</si>
  <si>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</si>
  <si>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</si>
  <si>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</si>
  <si>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</si>
  <si>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</si>
  <si>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</si>
  <si>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</si>
  <si>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</si>
  <si>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</si>
  <si>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</si>
  <si>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</si>
  <si>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</si>
  <si>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</si>
  <si>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</si>
  <si>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</si>
  <si>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</si>
  <si>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</si>
  <si>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</si>
  <si>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</si>
  <si>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</si>
  <si>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</si>
  <si>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</si>
  <si>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</si>
  <si>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</si>
  <si>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</si>
  <si>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</si>
  <si>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</si>
  <si>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</si>
  <si>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</si>
  <si>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</si>
  <si>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</si>
  <si>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</si>
  <si>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</si>
  <si>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</si>
  <si>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</si>
  <si>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</si>
  <si>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</si>
  <si>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</si>
  <si>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</si>
  <si>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</si>
  <si>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</si>
  <si>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</si>
  <si>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</si>
  <si>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</si>
  <si>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</si>
  <si>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</si>
  <si>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</si>
  <si>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</si>
  <si>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</si>
  <si>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</si>
  <si>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</si>
  <si>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</si>
  <si>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</si>
  <si>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</si>
  <si>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</si>
  <si>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</si>
  <si>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</si>
  <si>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</si>
  <si>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</si>
  <si>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</si>
  <si>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</si>
  <si>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</si>
  <si>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</si>
  <si>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</si>
  <si>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</si>
  <si>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</si>
  <si>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</si>
  <si>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</si>
  <si>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</si>
  <si>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</si>
  <si>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</si>
  <si>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</si>
  <si>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</si>
  <si>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</si>
  <si>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</si>
  <si>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</si>
  <si>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</si>
  <si>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</si>
  <si>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</si>
  <si>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</si>
  <si>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</si>
  <si>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</si>
  <si>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</si>
  <si>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</si>
  <si>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</si>
  <si>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</si>
  <si>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</si>
  <si>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</si>
  <si>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</si>
  <si>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</si>
  <si>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</si>
  <si>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</si>
  <si>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</si>
  <si>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</si>
  <si>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</si>
  <si>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</si>
  <si>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</si>
  <si>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</si>
  <si>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</si>
  <si>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</si>
  <si>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</si>
  <si>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</si>
  <si>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</si>
  <si>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</si>
  <si>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</si>
  <si>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</si>
  <si>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</si>
  <si>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</si>
  <si>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</si>
  <si>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</si>
  <si>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</si>
  <si>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</si>
  <si>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</si>
  <si>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</si>
  <si>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</si>
  <si>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</si>
  <si>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</si>
  <si>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</si>
  <si>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</si>
  <si>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</si>
  <si>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</si>
  <si>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</si>
  <si>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</si>
  <si>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</si>
  <si>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</si>
  <si>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</si>
  <si>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</si>
  <si>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</si>
  <si>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</si>
  <si>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</si>
  <si>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</si>
  <si>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</si>
  <si>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</si>
  <si>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</si>
  <si>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</si>
  <si>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</si>
  <si>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</si>
  <si>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</si>
  <si>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</si>
  <si>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</si>
  <si>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</si>
  <si>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</si>
  <si>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</si>
  <si>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</si>
  <si>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</si>
  <si>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</si>
  <si>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</si>
  <si>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</si>
  <si>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</si>
  <si>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</si>
  <si>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</si>
  <si>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</si>
  <si>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</si>
  <si>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</si>
  <si>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</si>
  <si>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</si>
  <si>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</si>
  <si>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</si>
  <si>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</si>
  <si>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</si>
  <si>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</si>
  <si>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</si>
  <si>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</si>
  <si>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</si>
  <si>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</si>
  <si>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</si>
  <si>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</si>
  <si>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</si>
  <si>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</si>
  <si>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</si>
  <si>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</si>
  <si>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</si>
  <si>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</si>
  <si>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</si>
  <si>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</si>
  <si>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</si>
  <si>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</si>
  <si>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</si>
  <si>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</si>
  <si>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</si>
  <si>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</si>
  <si>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</si>
  <si>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</si>
  <si>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</si>
  <si>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</si>
  <si>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</si>
  <si>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</si>
  <si>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</si>
  <si>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</si>
  <si>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</si>
  <si>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</si>
  <si>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</si>
  <si>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</si>
  <si>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</si>
  <si>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</si>
  <si>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</si>
  <si>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</si>
  <si>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</si>
  <si>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</si>
  <si>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</si>
  <si>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</si>
  <si>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</si>
  <si>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</si>
  <si>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</si>
  <si>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</si>
  <si>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</si>
  <si>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</si>
  <si>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</si>
  <si>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</si>
  <si>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</si>
  <si>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</si>
  <si>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</si>
  <si>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</si>
  <si>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</si>
  <si>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</si>
  <si>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</si>
  <si>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</si>
  <si>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</si>
  <si>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</si>
  <si>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</si>
  <si>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</si>
  <si>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</si>
  <si>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</si>
  <si>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</si>
  <si>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</si>
  <si>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</si>
  <si>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</si>
  <si>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</si>
  <si>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</si>
  <si>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</si>
  <si>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</si>
  <si>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</si>
  <si>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</si>
  <si>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</si>
  <si>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</si>
  <si>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</si>
  <si>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</si>
  <si>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</si>
  <si>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</si>
  <si>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</si>
  <si>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</si>
  <si>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</si>
  <si>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</si>
  <si>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</si>
  <si>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</si>
  <si>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</si>
  <si>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</si>
  <si>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</si>
  <si>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</si>
  <si>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</si>
  <si>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</si>
  <si>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</si>
  <si>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</si>
  <si>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</si>
  <si>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</si>
  <si>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</si>
  <si>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</si>
  <si>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</si>
  <si>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</si>
  <si>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</si>
  <si>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</si>
  <si>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</si>
  <si>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</si>
  <si>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</si>
  <si>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</si>
  <si>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</si>
  <si>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</si>
  <si>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</si>
  <si>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</si>
  <si>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</si>
  <si>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</si>
  <si>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</si>
  <si>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</si>
  <si>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</si>
  <si>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</si>
  <si>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</si>
  <si>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</si>
  <si>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</si>
  <si>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</si>
  <si>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</si>
  <si>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</si>
  <si>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</si>
  <si>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</si>
  <si>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</si>
  <si>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</si>
  <si>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</si>
  <si>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</si>
  <si>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</si>
  <si>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</si>
  <si>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</si>
  <si>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</si>
  <si>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</si>
  <si>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</si>
  <si>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</si>
  <si>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</si>
  <si>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</si>
  <si>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</si>
  <si>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</si>
  <si>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</si>
  <si>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</si>
  <si>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</si>
  <si>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</si>
  <si>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</si>
  <si>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</si>
  <si>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</si>
  <si>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</si>
  <si>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</si>
  <si>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</si>
  <si>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</si>
  <si>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</si>
  <si>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</si>
  <si>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</si>
  <si>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</si>
  <si>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</si>
  <si>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</si>
  <si>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</si>
  <si>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</si>
  <si>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</si>
  <si>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</si>
  <si>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</si>
  <si>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</si>
  <si>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</si>
  <si>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</si>
  <si>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</si>
  <si>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</si>
  <si>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</si>
  <si>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</si>
  <si>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</si>
  <si>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</si>
  <si>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</si>
  <si>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</si>
  <si>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</si>
  <si>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</si>
  <si>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</si>
  <si>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</si>
  <si>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</si>
  <si>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</si>
  <si>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</si>
  <si>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</si>
  <si>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</si>
  <si>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</si>
  <si>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</si>
  <si>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</si>
  <si>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</si>
  <si>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</si>
  <si>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</si>
  <si>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</si>
  <si>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</si>
  <si>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</si>
  <si>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</si>
  <si>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</si>
  <si>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</si>
  <si>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</si>
  <si>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</si>
  <si>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</si>
  <si>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</si>
  <si>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</si>
  <si>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</si>
  <si>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</si>
  <si>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</si>
  <si>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</si>
  <si>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</si>
  <si>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</si>
  <si>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</si>
  <si>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</si>
  <si>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</si>
  <si>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</si>
  <si>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</si>
  <si>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</si>
  <si>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</si>
  <si>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</si>
  <si>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</si>
  <si>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</si>
  <si>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</si>
  <si>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</si>
  <si>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</si>
  <si>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</si>
  <si>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</si>
  <si>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</si>
  <si>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</si>
  <si>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</si>
  <si>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</si>
  <si>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</si>
  <si>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</si>
  <si>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</si>
  <si>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</si>
  <si>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</si>
  <si>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</si>
  <si>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</si>
  <si>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</si>
  <si>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</si>
  <si>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</si>
  <si>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</si>
  <si>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</si>
  <si>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</si>
  <si>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</si>
  <si>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</si>
  <si>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</si>
  <si>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</si>
  <si>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</si>
  <si>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</si>
  <si>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</si>
  <si>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</si>
  <si>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</si>
  <si>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</si>
  <si>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</si>
  <si>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</si>
  <si>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</si>
  <si>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</si>
  <si>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</si>
  <si>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</si>
  <si>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</si>
  <si>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</si>
  <si>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</si>
  <si>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</si>
  <si>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</si>
  <si>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</si>
  <si>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</si>
  <si>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</si>
  <si>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</si>
  <si>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</si>
  <si>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</si>
  <si>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</si>
  <si>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</si>
  <si>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</si>
  <si>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</si>
  <si>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</si>
  <si>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</si>
  <si>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</si>
  <si>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</si>
  <si>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</si>
  <si>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</si>
  <si>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</si>
  <si>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</si>
  <si>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</si>
  <si>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</si>
  <si>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</si>
  <si>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</si>
  <si>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</si>
  <si>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</si>
  <si>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</si>
  <si>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</si>
  <si>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</si>
  <si>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</si>
  <si>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</si>
  <si>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</si>
  <si>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</si>
  <si>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</si>
  <si>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</si>
  <si>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</si>
  <si>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</si>
  <si>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</si>
  <si>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</si>
  <si>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</si>
  <si>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</si>
  <si>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</si>
  <si>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</si>
  <si>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</si>
  <si>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</si>
  <si>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</si>
  <si>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</si>
  <si>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</si>
  <si>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</si>
  <si>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</si>
  <si>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</si>
  <si>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</si>
  <si>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</si>
  <si>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</si>
  <si>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</si>
  <si>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</si>
  <si>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</si>
  <si>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</si>
  <si>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</si>
  <si>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</si>
  <si>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</si>
  <si>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</si>
  <si>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</si>
  <si>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</si>
  <si>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</si>
  <si>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</si>
  <si>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</si>
  <si>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</si>
  <si>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</si>
  <si>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</si>
  <si>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</si>
  <si>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</si>
  <si>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</si>
  <si>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</si>
  <si>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</si>
  <si>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</si>
  <si>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</si>
  <si>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</si>
  <si>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</si>
  <si>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</si>
  <si>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</si>
  <si>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</si>
  <si>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</si>
  <si>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</si>
  <si>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</si>
  <si>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</si>
  <si>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</si>
  <si>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</si>
  <si>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</si>
  <si>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</si>
  <si>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</si>
  <si>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</si>
  <si>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</si>
  <si>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</si>
  <si>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</si>
  <si>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</si>
  <si>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</si>
  <si>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</si>
  <si>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</si>
  <si>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</si>
  <si>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</si>
  <si>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</si>
  <si>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</si>
  <si>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</si>
  <si>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</si>
  <si>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</si>
  <si>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</si>
  <si>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</si>
  <si>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</si>
  <si>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</si>
  <si>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</si>
  <si>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</si>
  <si>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</si>
  <si>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</si>
  <si>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</si>
  <si>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</si>
  <si>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</si>
  <si>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</si>
  <si>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</si>
  <si>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</si>
  <si>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</si>
  <si>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</si>
  <si>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</si>
  <si>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</si>
  <si>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</si>
  <si>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</si>
  <si>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</si>
  <si>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</si>
  <si>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</si>
  <si>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</si>
  <si>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</si>
  <si>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</si>
  <si>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</si>
  <si>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</si>
  <si>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</si>
  <si>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</si>
  <si>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</si>
  <si>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</si>
  <si>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</si>
  <si>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</si>
  <si>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</si>
  <si>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</si>
  <si>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</si>
  <si>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</si>
  <si>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</si>
  <si>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</si>
  <si>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</si>
  <si>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</si>
  <si>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</si>
  <si>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</si>
  <si>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</si>
  <si>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</si>
  <si>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</si>
  <si>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</si>
  <si>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</si>
  <si>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</si>
  <si>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</si>
  <si>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</si>
  <si>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</si>
  <si>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</si>
  <si>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</si>
  <si>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</si>
  <si>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</si>
  <si>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</si>
  <si>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</si>
  <si>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</si>
  <si>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</si>
  <si>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</si>
  <si>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</si>
  <si>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</si>
  <si>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</si>
  <si>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</si>
  <si>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</si>
  <si>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</si>
  <si>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</si>
  <si>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</si>
  <si>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</si>
  <si>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</si>
  <si>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</si>
  <si>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</si>
  <si>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</si>
  <si>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</si>
  <si>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</si>
  <si>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</si>
  <si>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</si>
  <si>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</si>
  <si>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</si>
  <si>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</si>
  <si>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</si>
  <si>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</si>
  <si>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</si>
  <si>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</si>
  <si>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</si>
  <si>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</si>
  <si>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</si>
  <si>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</si>
  <si>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</si>
  <si>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</si>
  <si>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</si>
  <si>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</si>
  <si>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</si>
  <si>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</si>
  <si>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</si>
  <si>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</si>
  <si>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</si>
  <si>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</si>
  <si>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</si>
  <si>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</si>
  <si>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</si>
  <si>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</si>
  <si>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</si>
  <si>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</si>
  <si>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</si>
  <si>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</si>
  <si>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</si>
  <si>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</si>
  <si>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</si>
  <si>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</si>
  <si>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</si>
  <si>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</si>
  <si>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</si>
  <si>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</si>
  <si>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</si>
  <si>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</si>
  <si>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</si>
  <si>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</si>
  <si>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</si>
  <si>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</si>
  <si>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</si>
  <si>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</si>
  <si>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</si>
  <si>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</si>
  <si>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</si>
  <si>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</si>
  <si>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</si>
  <si>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</si>
  <si>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</si>
  <si>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</si>
  <si>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</si>
  <si>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</si>
  <si>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</si>
  <si>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</si>
  <si>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</si>
  <si>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</si>
  <si>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</si>
  <si>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</si>
  <si>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</si>
  <si>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</si>
  <si>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</si>
  <si>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</si>
  <si>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</si>
  <si>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</si>
  <si>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</si>
  <si>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</si>
  <si>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</si>
  <si>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</si>
  <si>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</si>
  <si>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</si>
  <si>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</si>
  <si>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</si>
  <si>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</si>
  <si>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</si>
  <si>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</si>
  <si>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</si>
  <si>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</si>
  <si>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</si>
  <si>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</si>
  <si>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</si>
  <si>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</si>
  <si>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</si>
  <si>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</si>
  <si>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</si>
  <si>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</si>
  <si>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</si>
  <si>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</si>
  <si>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</si>
  <si>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</si>
  <si>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</si>
  <si>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</si>
  <si>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</si>
  <si>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</si>
  <si>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</si>
  <si>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</si>
  <si>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</si>
  <si>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</si>
  <si>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</si>
  <si>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</si>
  <si>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</si>
  <si>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</si>
  <si>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</si>
  <si>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</si>
  <si>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</si>
  <si>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</si>
  <si>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</si>
  <si>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</si>
  <si>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</si>
  <si>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</si>
  <si>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</si>
  <si>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</si>
  <si>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</si>
  <si>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</si>
  <si>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</si>
  <si>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</si>
  <si>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</si>
  <si>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</si>
  <si>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</si>
  <si>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</si>
  <si>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</si>
  <si>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</si>
  <si>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</si>
  <si>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</si>
  <si>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</si>
  <si>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</si>
  <si>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</si>
  <si>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</si>
  <si>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</si>
  <si>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</si>
  <si>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</si>
  <si>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</si>
  <si>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</si>
  <si>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</si>
  <si>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</si>
  <si>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</si>
  <si>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</si>
  <si>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</si>
  <si>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</si>
  <si>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</si>
  <si>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</si>
  <si>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</si>
  <si>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</si>
  <si>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</si>
  <si>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</si>
  <si>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</si>
  <si>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</si>
  <si>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</si>
  <si>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</si>
  <si>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</si>
  <si>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</si>
  <si>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</si>
  <si>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</si>
  <si>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</si>
  <si>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</si>
  <si>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</si>
  <si>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</si>
  <si>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</si>
  <si>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</si>
  <si>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</si>
  <si>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</si>
  <si>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</si>
  <si>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</si>
  <si>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</si>
  <si>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</si>
  <si>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</si>
  <si>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</si>
  <si>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</si>
  <si>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</si>
  <si>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</si>
  <si>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</si>
  <si>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</si>
  <si>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</si>
  <si>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</si>
  <si>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</si>
  <si>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</si>
  <si>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</si>
  <si>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</si>
  <si>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</si>
  <si>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</si>
  <si>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</si>
  <si>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</si>
  <si>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</si>
  <si>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</si>
  <si>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</si>
  <si>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</si>
  <si>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</si>
  <si>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</si>
  <si>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</si>
  <si>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</si>
  <si>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</si>
  <si>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</si>
  <si>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</si>
  <si>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</si>
  <si>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</si>
  <si>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</si>
  <si>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</si>
  <si>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</si>
  <si>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</si>
  <si>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</si>
  <si>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</si>
  <si>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</si>
  <si>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</si>
  <si>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</si>
  <si>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</si>
  <si>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</si>
  <si>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</si>
  <si>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</si>
  <si>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</si>
  <si>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</si>
  <si>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</si>
  <si>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</si>
  <si>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</si>
  <si>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</si>
  <si>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</si>
  <si>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</si>
  <si>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</si>
  <si>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</si>
  <si>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</si>
  <si>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</si>
  <si>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</si>
  <si>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</si>
  <si>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</si>
  <si>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</si>
  <si>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</si>
  <si>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</si>
  <si>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</si>
  <si>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</si>
  <si>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</si>
  <si>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</si>
  <si>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</si>
  <si>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</si>
  <si>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</si>
  <si>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</si>
  <si>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</si>
  <si>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</si>
  <si>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</si>
  <si>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</si>
  <si>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</si>
  <si>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</si>
  <si>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</si>
  <si>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</si>
  <si>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</si>
  <si>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</si>
  <si>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</si>
  <si>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</si>
  <si>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</si>
  <si>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</si>
  <si>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</si>
  <si>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</si>
  <si>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</si>
  <si>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</si>
  <si>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</si>
  <si>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</si>
  <si>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</si>
  <si>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</si>
  <si>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</si>
  <si>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</si>
  <si>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</si>
  <si>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</si>
  <si>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</si>
  <si>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</si>
  <si>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</si>
  <si>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</si>
  <si>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</si>
  <si>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</si>
  <si>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</si>
  <si>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</si>
  <si>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</si>
  <si>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</si>
  <si>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</si>
  <si>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</si>
  <si>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</si>
  <si>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</si>
  <si>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</si>
  <si>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</si>
  <si>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</si>
  <si>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</si>
  <si>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</si>
  <si>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</si>
  <si>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</si>
  <si>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</si>
  <si>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</si>
  <si>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</si>
  <si>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</si>
  <si>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</si>
  <si>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</si>
  <si>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</si>
  <si>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</si>
  <si>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</si>
  <si>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</si>
  <si>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</si>
  <si>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</si>
  <si>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</si>
  <si>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</si>
  <si>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</si>
  <si>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</si>
  <si>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</si>
  <si>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</si>
  <si>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</si>
  <si>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</si>
  <si>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</si>
  <si>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</si>
  <si>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</si>
  <si>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</si>
  <si>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</si>
  <si>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</si>
  <si>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</si>
  <si>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</si>
  <si>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</si>
  <si>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</si>
  <si>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</si>
  <si>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</si>
  <si>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</si>
  <si>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</si>
  <si>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</si>
  <si>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</si>
  <si>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</si>
  <si>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</si>
  <si>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</si>
  <si>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</si>
  <si>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</si>
  <si>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</si>
  <si>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</si>
  <si>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</si>
  <si>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</si>
  <si>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</si>
  <si>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</si>
  <si>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</si>
  <si>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</si>
  <si>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</si>
  <si>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</si>
  <si>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</si>
  <si>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</si>
  <si>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</si>
  <si>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</si>
  <si>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</si>
  <si>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</si>
  <si>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</si>
  <si>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</si>
  <si>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</si>
  <si>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</si>
  <si>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</si>
  <si>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</si>
  <si>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</si>
  <si>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</si>
  <si>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</si>
  <si>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</si>
  <si>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</si>
  <si>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</si>
  <si>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</si>
  <si>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</si>
  <si>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</si>
  <si>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</si>
  <si>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</si>
  <si>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</si>
  <si>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</si>
  <si>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</si>
  <si>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</si>
  <si>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</si>
  <si>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</si>
  <si>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</si>
  <si>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</si>
  <si>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</si>
  <si>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</si>
  <si>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</si>
  <si>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</si>
  <si>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</si>
  <si>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</si>
  <si>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</si>
  <si>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</si>
  <si>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</si>
  <si>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</si>
  <si>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</si>
  <si>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</si>
  <si>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</si>
  <si>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</si>
  <si>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</si>
  <si>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</si>
  <si>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</si>
  <si>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</si>
  <si>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</si>
  <si>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</si>
  <si>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</si>
  <si>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</si>
  <si>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</si>
  <si>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</si>
  <si>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</si>
  <si>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</si>
  <si>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</si>
  <si>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</si>
  <si>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</si>
  <si>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</si>
  <si>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</si>
  <si>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</si>
  <si>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</si>
  <si>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</si>
  <si>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</si>
  <si>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</si>
  <si>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</si>
  <si>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</si>
  <si>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</si>
  <si>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</si>
  <si>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</si>
  <si>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</si>
  <si>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</si>
  <si>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</si>
  <si>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</si>
  <si>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</si>
  <si>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</si>
  <si>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</si>
  <si>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</si>
  <si>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</si>
  <si>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</si>
  <si>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</si>
  <si>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</si>
  <si>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</si>
  <si>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</si>
  <si>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</si>
  <si>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</si>
  <si>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</si>
  <si>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</si>
  <si>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</si>
  <si>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</si>
  <si>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</si>
  <si>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</si>
  <si>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</si>
  <si>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</si>
  <si>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</si>
  <si>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</si>
  <si>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</si>
  <si>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</si>
  <si>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</si>
  <si>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</si>
  <si>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</si>
  <si>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</si>
  <si>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</si>
  <si>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</si>
  <si>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</si>
  <si>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</si>
  <si>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</si>
  <si>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</si>
  <si>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</si>
  <si>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</si>
  <si>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</si>
  <si>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</si>
  <si>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</si>
  <si>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</si>
  <si>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</si>
  <si>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</si>
  <si>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</si>
  <si>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</si>
  <si>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</si>
  <si>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</si>
  <si>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</si>
  <si>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</si>
  <si>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</si>
  <si>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</si>
  <si>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</si>
  <si>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</si>
  <si>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</si>
  <si>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</si>
  <si>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</si>
  <si>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</si>
  <si>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</si>
  <si>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</si>
  <si>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</si>
  <si>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</si>
  <si>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</si>
  <si>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</si>
  <si>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</si>
  <si>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</si>
  <si>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</si>
  <si>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</si>
  <si>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</si>
  <si>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</si>
  <si>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</si>
  <si>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</si>
  <si>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</si>
  <si>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</si>
  <si>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</si>
  <si>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</si>
  <si>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</si>
  <si>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</si>
  <si>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</si>
  <si>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</si>
  <si>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</si>
  <si>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</si>
  <si>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</si>
  <si>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</si>
  <si>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</si>
  <si>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</si>
  <si>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</si>
  <si>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</si>
  <si>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</si>
  <si>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</si>
  <si>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</si>
  <si>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</si>
  <si>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</si>
  <si>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</si>
  <si>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</si>
  <si>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</si>
  <si>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</si>
  <si>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</si>
  <si>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</si>
  <si>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</si>
  <si>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</si>
  <si>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</si>
  <si>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</si>
  <si>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</si>
  <si>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</si>
  <si>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</si>
  <si>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</si>
  <si>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</si>
  <si>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</si>
  <si>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</si>
  <si>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</si>
  <si>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</si>
  <si>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</si>
  <si>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</si>
  <si>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</si>
  <si>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</si>
  <si>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</si>
  <si>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</si>
  <si>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</si>
  <si>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</si>
  <si>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</si>
  <si>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</si>
  <si>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</si>
  <si>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</si>
  <si>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</si>
  <si>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</si>
  <si>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</si>
  <si>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</si>
  <si>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</si>
  <si>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</si>
  <si>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</si>
  <si>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</si>
  <si>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</si>
  <si>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</si>
  <si>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</si>
  <si>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</si>
  <si>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</si>
  <si>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</si>
  <si>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</si>
  <si>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</si>
  <si>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</si>
  <si>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</si>
  <si>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</si>
  <si>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</si>
  <si>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</si>
  <si>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</si>
  <si>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</si>
  <si>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</si>
  <si>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</si>
  <si>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</si>
  <si>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</si>
  <si>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</si>
  <si>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</si>
  <si>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</si>
  <si>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</si>
  <si>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</si>
  <si>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</si>
  <si>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</si>
  <si>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</si>
  <si>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</si>
  <si>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</si>
  <si>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</si>
  <si>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</si>
  <si>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</si>
  <si>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</si>
  <si>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</si>
  <si>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</si>
  <si>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</si>
  <si>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</si>
  <si>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</si>
  <si>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</si>
  <si>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</si>
  <si>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</si>
  <si>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</si>
  <si>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</si>
  <si>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</si>
  <si>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</si>
  <si>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</si>
  <si>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</si>
  <si>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</si>
  <si>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</si>
  <si>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</si>
  <si>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</si>
  <si>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</si>
  <si>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</si>
  <si>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</si>
  <si>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</si>
  <si>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</si>
  <si>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</si>
  <si>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</si>
  <si>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</si>
  <si>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</si>
  <si>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</si>
  <si>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</si>
  <si>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</si>
  <si>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</si>
  <si>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</si>
  <si>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</si>
  <si>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</si>
  <si>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</si>
  <si>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</si>
  <si>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</si>
  <si>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</si>
  <si>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</si>
  <si>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</si>
  <si>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</si>
  <si>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</si>
  <si>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</si>
  <si>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</si>
  <si>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</si>
  <si>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</si>
  <si>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</si>
  <si>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</si>
  <si>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</si>
  <si>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</si>
  <si>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</si>
  <si>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</si>
  <si>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</si>
  <si>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</si>
  <si>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</si>
  <si>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</si>
  <si>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</si>
  <si>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</si>
  <si>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</si>
  <si>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</si>
  <si>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</si>
  <si>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</si>
  <si>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</si>
  <si>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</si>
  <si>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</si>
  <si>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</si>
  <si>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</si>
  <si>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</si>
  <si>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</si>
  <si>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</si>
  <si>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</si>
  <si>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</si>
  <si>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</si>
  <si>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</si>
  <si>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</si>
  <si>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</si>
  <si>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</si>
  <si>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</si>
  <si>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</si>
  <si>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</si>
  <si>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</si>
  <si>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</si>
  <si>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</si>
  <si>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</si>
  <si>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</si>
  <si>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</si>
  <si>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</si>
  <si>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</si>
  <si>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</si>
  <si>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</si>
  <si>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</si>
  <si>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</si>
  <si>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</si>
  <si>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</si>
  <si>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</si>
  <si>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</si>
  <si>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</si>
  <si>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</si>
  <si>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</si>
  <si>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</si>
  <si>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</si>
  <si>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</si>
  <si>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</si>
  <si>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</si>
  <si>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</si>
  <si>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</si>
  <si>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</si>
  <si>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</si>
  <si>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</si>
  <si>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</si>
  <si>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</si>
  <si>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</si>
  <si>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</si>
  <si>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</si>
  <si>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</si>
  <si>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</si>
  <si>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</si>
  <si>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</si>
  <si>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</si>
  <si>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</si>
  <si>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</si>
  <si>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</si>
  <si>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</si>
  <si>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</si>
  <si>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</si>
  <si>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</si>
  <si>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</si>
  <si>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</si>
  <si>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</si>
  <si>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</si>
  <si>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</si>
  <si>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</si>
  <si>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</si>
  <si>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</si>
  <si>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</si>
  <si>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</si>
  <si>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</si>
  <si>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</si>
  <si>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</si>
  <si>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</si>
  <si>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</si>
  <si>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</si>
  <si>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</si>
  <si>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</si>
  <si>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</si>
  <si>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</si>
  <si>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</si>
  <si>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</si>
  <si>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</si>
  <si>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</si>
  <si>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</si>
  <si>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</si>
  <si>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</si>
  <si>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</si>
  <si>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</si>
  <si>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</si>
  <si>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</si>
  <si>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</si>
  <si>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</si>
  <si>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</si>
  <si>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</si>
  <si>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</si>
  <si>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</si>
  <si>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</si>
  <si>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</si>
  <si>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</si>
  <si>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</si>
  <si>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</si>
  <si>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</si>
  <si>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</si>
  <si>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</si>
  <si>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</si>
  <si>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</si>
  <si>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</si>
  <si>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</si>
  <si>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</si>
  <si>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</si>
  <si>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</si>
  <si>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</si>
  <si>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</si>
  <si>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</si>
  <si>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</si>
  <si>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</si>
  <si>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</si>
  <si>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</si>
  <si>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</si>
  <si>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</si>
  <si>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</si>
  <si>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</si>
  <si>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</si>
  <si>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</si>
  <si>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</si>
  <si>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</si>
  <si>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</si>
  <si>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</si>
  <si>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</si>
  <si>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</si>
  <si>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</si>
  <si>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</si>
  <si>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</si>
  <si>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</si>
  <si>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</si>
  <si>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</si>
  <si>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</si>
  <si>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</si>
  <si>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</si>
  <si>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</si>
  <si>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</si>
  <si>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</si>
  <si>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</si>
  <si>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</si>
  <si>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</si>
  <si>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</si>
  <si>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</si>
  <si>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</si>
  <si>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</si>
  <si>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</si>
  <si>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</si>
  <si>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</si>
  <si>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</si>
  <si>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</si>
  <si>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</si>
  <si>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</si>
  <si>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</si>
  <si>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</si>
  <si>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</si>
  <si>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</si>
  <si>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</si>
  <si>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</si>
  <si>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</si>
  <si>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</si>
  <si>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</si>
  <si>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</si>
  <si>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</si>
  <si>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</si>
  <si>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</si>
  <si>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</si>
  <si>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</si>
  <si>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</si>
  <si>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</si>
  <si>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</si>
  <si>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</si>
  <si>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</si>
  <si>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</si>
  <si>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</si>
  <si>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</si>
  <si>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</si>
  <si>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</si>
  <si>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</si>
  <si>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</si>
  <si>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</si>
  <si>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</si>
  <si>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</si>
  <si>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</si>
  <si>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</si>
  <si>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</si>
  <si>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</si>
  <si>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</si>
  <si>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</si>
  <si>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</si>
  <si>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</si>
  <si>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</si>
  <si>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</si>
  <si>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</si>
  <si>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</si>
  <si>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</si>
  <si>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</si>
  <si>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</si>
  <si>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</si>
  <si>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</si>
  <si>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</si>
  <si>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</si>
  <si>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</si>
  <si>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</si>
  <si>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</si>
  <si>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</si>
  <si>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</si>
  <si>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</si>
  <si>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</si>
  <si>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</si>
  <si>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</si>
  <si>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</si>
  <si>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</si>
  <si>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</si>
  <si>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</si>
  <si>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</si>
  <si>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</si>
  <si>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</si>
  <si>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</si>
  <si>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</si>
  <si>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</si>
  <si>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</si>
  <si>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</si>
  <si>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</si>
  <si>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</si>
  <si>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</si>
  <si>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</si>
  <si>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</si>
  <si>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</si>
  <si>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</si>
  <si>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</si>
  <si>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</si>
  <si>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</si>
  <si>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</si>
  <si>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</si>
  <si>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</si>
  <si>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</si>
  <si>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</si>
  <si>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</si>
  <si>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</si>
  <si>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</si>
  <si>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</si>
  <si>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</si>
  <si>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</si>
  <si>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</si>
  <si>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</si>
  <si>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</si>
  <si>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</si>
  <si>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</si>
  <si>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</si>
  <si>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</si>
  <si>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</si>
  <si>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</si>
  <si>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</si>
  <si>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</si>
  <si>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</si>
  <si>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</si>
  <si>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</si>
  <si>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</si>
  <si>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</si>
  <si>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</si>
  <si>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</si>
  <si>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</si>
  <si>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</si>
  <si>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</si>
  <si>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</si>
  <si>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</si>
  <si>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</si>
  <si>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</si>
  <si>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</si>
  <si>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</si>
  <si>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</si>
  <si>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</si>
  <si>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</si>
  <si>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</si>
  <si>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</si>
  <si>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</si>
  <si>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</si>
  <si>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</si>
  <si>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</si>
  <si>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</si>
  <si>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</si>
  <si>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</si>
  <si>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</si>
  <si>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</si>
  <si>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</si>
  <si>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</si>
  <si>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</si>
  <si>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</si>
  <si>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</si>
  <si>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</si>
  <si>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</si>
  <si>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</si>
  <si>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</si>
  <si>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</si>
  <si>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</si>
  <si>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</si>
  <si>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</si>
  <si>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</si>
  <si>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</si>
  <si>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</si>
  <si>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</si>
  <si>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</si>
  <si>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</si>
  <si>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</si>
  <si>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</si>
  <si>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</si>
  <si>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</si>
  <si>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</si>
  <si>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</si>
  <si>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</si>
  <si>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</si>
  <si>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</si>
  <si>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</si>
  <si>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</si>
  <si>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</si>
  <si>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</si>
  <si>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</si>
  <si>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</si>
  <si>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</si>
  <si>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</si>
  <si>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</si>
  <si>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</si>
  <si>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</si>
  <si>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</si>
  <si>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</si>
  <si>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</si>
  <si>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</si>
  <si>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</si>
  <si>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</si>
  <si>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</si>
  <si>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</si>
  <si>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</si>
  <si>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</si>
  <si>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</si>
  <si>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</si>
  <si>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</si>
  <si>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</si>
  <si>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</si>
  <si>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</si>
  <si>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</si>
  <si>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</si>
  <si>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</si>
  <si>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</si>
  <si>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</si>
  <si>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</si>
  <si>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</si>
  <si>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</si>
  <si>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</si>
  <si>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</si>
  <si>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</si>
  <si>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</si>
  <si>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</si>
  <si>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</si>
  <si>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</si>
  <si>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</si>
  <si>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</si>
  <si>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</si>
  <si>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</si>
  <si>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</si>
  <si>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</si>
  <si>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</si>
  <si>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</si>
  <si>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</si>
  <si>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</si>
  <si>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</si>
  <si>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</si>
  <si>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</si>
  <si>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</si>
  <si>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</si>
  <si>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</si>
  <si>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</si>
  <si>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</si>
  <si>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</si>
  <si>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</si>
  <si>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</si>
  <si>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</si>
  <si>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</si>
  <si>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</si>
  <si>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</si>
  <si>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</si>
  <si>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</si>
  <si>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</si>
  <si>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</si>
  <si>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</si>
  <si>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</si>
  <si>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</si>
  <si>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</si>
  <si>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</si>
  <si>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</si>
  <si>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</si>
  <si>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</si>
  <si>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</si>
  <si>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</si>
  <si>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</si>
  <si>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</si>
  <si>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</si>
  <si>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</si>
  <si>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</si>
  <si>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</si>
  <si>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</si>
  <si>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</si>
  <si>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</si>
  <si>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</si>
  <si>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</si>
  <si>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</si>
  <si>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</si>
  <si>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</si>
  <si>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</si>
  <si>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</si>
  <si>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</si>
  <si>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</si>
  <si>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</si>
  <si>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</si>
  <si>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</si>
  <si>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</si>
  <si>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</si>
  <si>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</si>
  <si>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</si>
  <si>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</si>
  <si>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</si>
  <si>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</si>
  <si>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</si>
  <si>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</si>
  <si>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</si>
  <si>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</si>
  <si>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</si>
  <si>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</si>
  <si>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</si>
  <si>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</si>
  <si>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</si>
  <si>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</si>
  <si>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</si>
  <si>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</si>
  <si>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</si>
  <si>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</si>
  <si>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</si>
  <si>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</si>
  <si>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</si>
  <si>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</si>
  <si>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</si>
  <si>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</si>
  <si>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</si>
  <si>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</si>
  <si>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</si>
  <si>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</si>
  <si>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</si>
  <si>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</si>
  <si>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</si>
  <si>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</si>
  <si>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</si>
  <si>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</si>
  <si>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</si>
  <si>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</si>
  <si>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</si>
  <si>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</si>
  <si>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</si>
  <si>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</si>
  <si>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</si>
  <si>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</si>
  <si>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</si>
  <si>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</si>
  <si>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</si>
  <si>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</si>
  <si>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</si>
  <si>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</si>
  <si>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</si>
  <si>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</si>
  <si>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</si>
  <si>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</si>
  <si>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</si>
  <si>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</si>
  <si>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</si>
  <si>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</si>
  <si>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</si>
  <si>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</si>
  <si>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</si>
  <si>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</si>
  <si>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</si>
  <si>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</si>
  <si>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</si>
  <si>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</si>
  <si>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</si>
  <si>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</si>
  <si>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</si>
  <si>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</si>
  <si>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</si>
  <si>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</si>
  <si>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</si>
  <si>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</si>
  <si>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</si>
  <si>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</si>
  <si>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</si>
  <si>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</si>
  <si>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</si>
  <si>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</si>
  <si>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</si>
  <si>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</si>
  <si>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</si>
  <si>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</si>
  <si>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</si>
  <si>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</si>
  <si>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</si>
  <si>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</si>
  <si>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</si>
  <si>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</si>
  <si>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</si>
  <si>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</si>
  <si>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</si>
  <si>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</si>
  <si>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</si>
  <si>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</si>
  <si>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</si>
  <si>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</si>
  <si>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</si>
  <si>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</si>
  <si>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</si>
  <si>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</si>
  <si>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</si>
  <si>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</si>
  <si>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</si>
  <si>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</si>
  <si>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</si>
  <si>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</si>
  <si>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</si>
  <si>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</si>
  <si>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</si>
  <si>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</si>
  <si>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</si>
  <si>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</si>
  <si>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</si>
  <si>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</si>
  <si>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</si>
  <si>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</si>
  <si>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</si>
  <si>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</si>
  <si>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</si>
  <si>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</si>
  <si>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</si>
  <si>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</si>
  <si>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</si>
  <si>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</si>
  <si>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</si>
  <si>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</si>
  <si>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</si>
  <si>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</si>
  <si>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</si>
  <si>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</si>
  <si>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</si>
  <si>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</si>
  <si>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</si>
  <si>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</si>
  <si>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</si>
  <si>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</si>
  <si>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</si>
  <si>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</si>
  <si>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</si>
  <si>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</si>
  <si>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</si>
  <si>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</si>
  <si>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</si>
  <si>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</si>
  <si>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</si>
  <si>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</si>
  <si>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</si>
  <si>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</si>
  <si>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</si>
  <si>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</si>
  <si>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</si>
  <si>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</si>
  <si>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</si>
  <si>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</si>
  <si>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</si>
  <si>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</si>
  <si>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</si>
  <si>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</si>
  <si>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</si>
  <si>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</si>
  <si>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</si>
  <si>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</si>
  <si>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</si>
  <si>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</si>
  <si>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</si>
  <si>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</si>
  <si>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</si>
  <si>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</si>
  <si>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</si>
  <si>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</si>
  <si>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</si>
  <si>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</si>
  <si>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</si>
  <si>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</si>
  <si>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</si>
  <si>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</si>
  <si>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</si>
  <si>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</si>
  <si>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</si>
  <si>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</si>
  <si>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</si>
  <si>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</si>
  <si>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</si>
  <si>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</si>
  <si>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</si>
  <si>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</si>
  <si>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</si>
  <si>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</si>
  <si>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</si>
  <si>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</si>
  <si>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</si>
  <si>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</si>
  <si>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</si>
  <si>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</si>
  <si>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</si>
  <si>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</si>
  <si>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</si>
  <si>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</si>
  <si>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</si>
  <si>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</si>
  <si>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</si>
  <si>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</si>
  <si>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</si>
  <si>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</si>
  <si>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</si>
  <si>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</si>
  <si>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</si>
  <si>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</si>
  <si>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</si>
  <si>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</si>
  <si>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</si>
  <si>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</si>
  <si>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</si>
  <si>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</si>
  <si>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</si>
  <si>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</si>
  <si>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</si>
  <si>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</si>
  <si>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</si>
  <si>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</si>
  <si>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</si>
  <si>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</si>
  <si>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</si>
  <si>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</si>
  <si>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</si>
  <si>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</si>
  <si>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</si>
  <si>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</si>
  <si>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</si>
  <si>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</si>
  <si>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</si>
  <si>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</si>
  <si>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</si>
  <si>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</si>
  <si>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</si>
  <si>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</si>
  <si>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</si>
  <si>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</si>
  <si>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</si>
  <si>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</si>
  <si>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</si>
  <si>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</si>
  <si>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</si>
  <si>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</si>
  <si>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</si>
  <si>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</si>
  <si>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</si>
  <si>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</si>
  <si>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</si>
  <si>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</si>
  <si>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</si>
  <si>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</si>
  <si>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</si>
  <si>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</si>
  <si>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</si>
  <si>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</si>
  <si>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</si>
  <si>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</si>
  <si>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</si>
  <si>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</si>
  <si>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</si>
  <si>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</si>
  <si>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</si>
  <si>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</si>
  <si>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</si>
  <si>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</si>
  <si>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</si>
  <si>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</si>
  <si>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</si>
  <si>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</si>
  <si>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</si>
  <si>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</si>
  <si>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</si>
  <si>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</si>
  <si>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</si>
  <si>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</si>
  <si>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</si>
  <si>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</si>
  <si>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</si>
  <si>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</si>
  <si>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</si>
  <si>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</si>
  <si>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</si>
  <si>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</si>
  <si>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</si>
  <si>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</si>
  <si>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</si>
  <si>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</si>
  <si>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</si>
  <si>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</si>
  <si>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</si>
  <si>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</si>
  <si>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</si>
  <si>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</si>
  <si>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</si>
  <si>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</si>
  <si>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</si>
  <si>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</si>
  <si>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</si>
  <si>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</si>
  <si>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</si>
  <si>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</si>
  <si>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</si>
  <si>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</si>
  <si>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</si>
  <si>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</si>
  <si>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</si>
  <si>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</si>
  <si>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</si>
  <si>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</si>
  <si>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</si>
  <si>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</si>
  <si>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</si>
  <si>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</si>
  <si>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</si>
  <si>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</si>
  <si>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</si>
  <si>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</si>
  <si>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</si>
  <si>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</si>
  <si>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</si>
  <si>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</si>
  <si>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</si>
  <si>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</si>
  <si>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</si>
  <si>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</si>
  <si>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</si>
  <si>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</si>
  <si>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</si>
  <si>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</si>
  <si>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</si>
  <si>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</si>
  <si>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</si>
  <si>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</si>
  <si>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</si>
  <si>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</si>
  <si>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</si>
  <si>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</si>
  <si>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</si>
  <si>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</si>
  <si>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</si>
  <si>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</si>
  <si>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</si>
  <si>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</si>
  <si>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</si>
  <si>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</si>
  <si>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</si>
  <si>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</si>
  <si>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</si>
  <si>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</si>
  <si>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</si>
  <si>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</si>
  <si>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</si>
  <si>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</si>
  <si>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</si>
  <si>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</si>
  <si>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</si>
  <si>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</si>
  <si>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</si>
  <si>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</si>
  <si>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</si>
  <si>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</si>
  <si>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</si>
  <si>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</si>
  <si>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</si>
  <si>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</si>
  <si>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</si>
  <si>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</si>
  <si>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</si>
  <si>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</si>
  <si>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</si>
  <si>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</si>
  <si>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</si>
  <si>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</si>
  <si>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</si>
  <si>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</si>
  <si>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</si>
  <si>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</si>
  <si>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</si>
  <si>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</si>
  <si>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</si>
  <si>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</si>
  <si>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</si>
  <si>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</si>
  <si>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</si>
  <si>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</si>
  <si>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</si>
  <si>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</si>
  <si>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</si>
  <si>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</si>
  <si>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</si>
  <si>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</si>
  <si>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</si>
  <si>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</si>
  <si>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</si>
  <si>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</si>
  <si>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</si>
  <si>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</si>
  <si>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</si>
  <si>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</si>
  <si>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</si>
  <si>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</si>
  <si>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</si>
  <si>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</si>
  <si>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</si>
  <si>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</si>
  <si>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</si>
  <si>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</si>
  <si>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</si>
  <si>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</si>
  <si>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</si>
  <si>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</si>
  <si>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</si>
  <si>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</si>
  <si>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</si>
  <si>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</si>
  <si>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</si>
  <si>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</si>
  <si>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</si>
  <si>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</si>
  <si>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</si>
  <si>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</si>
  <si>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</si>
  <si>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</si>
  <si>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</si>
  <si>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</si>
  <si>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</si>
  <si>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</si>
  <si>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</si>
  <si>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</si>
  <si>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</si>
  <si>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</si>
  <si>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</si>
  <si>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</si>
  <si>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</si>
  <si>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</si>
  <si>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</si>
  <si>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</si>
  <si>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</si>
  <si>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</si>
  <si>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</si>
  <si>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</si>
  <si>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</si>
  <si>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</si>
  <si>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</si>
  <si>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</si>
  <si>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</si>
  <si>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</si>
  <si>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</si>
  <si>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</si>
  <si>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</si>
  <si>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</si>
  <si>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</si>
  <si>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</si>
  <si>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</si>
  <si>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</si>
  <si>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</si>
  <si>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</si>
  <si>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</si>
  <si>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</si>
  <si>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</si>
  <si>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</si>
  <si>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</si>
  <si>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</si>
  <si>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</si>
  <si>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</si>
  <si>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</si>
  <si>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</si>
  <si>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</si>
  <si>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</si>
  <si>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</si>
  <si>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</si>
  <si>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</si>
  <si>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</si>
  <si>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</si>
  <si>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</si>
  <si>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</si>
  <si>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</si>
  <si>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</si>
  <si>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</si>
  <si>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</si>
  <si>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</si>
  <si>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</si>
  <si>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</si>
  <si>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</si>
  <si>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</si>
  <si>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</si>
  <si>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</si>
  <si>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</si>
  <si>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</si>
  <si>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</si>
  <si>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</si>
  <si>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</si>
  <si>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</si>
  <si>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</si>
  <si>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</si>
  <si>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</si>
  <si>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</si>
  <si>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</si>
  <si>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</si>
  <si>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</si>
  <si>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</si>
  <si>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</si>
  <si>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</si>
  <si>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</si>
  <si>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</si>
  <si>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</si>
  <si>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</si>
  <si>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</si>
  <si>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</si>
  <si>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</si>
  <si>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</si>
  <si>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</si>
  <si>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</si>
  <si>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</si>
  <si>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</si>
  <si>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</si>
  <si>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</si>
  <si>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</si>
  <si>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</si>
  <si>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</si>
  <si>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</si>
  <si>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</si>
  <si>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</si>
  <si>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</si>
  <si>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</si>
  <si>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</si>
  <si>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</si>
  <si>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</si>
  <si>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</si>
  <si>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</si>
  <si>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</si>
  <si>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</si>
  <si>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</si>
  <si>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</si>
  <si>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</si>
  <si>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</si>
  <si>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</si>
  <si>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</si>
  <si>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</si>
  <si>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</si>
  <si>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</si>
  <si>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</si>
  <si>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</si>
  <si>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</si>
  <si>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</si>
  <si>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</si>
  <si>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</si>
  <si>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</si>
  <si>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</si>
  <si>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</si>
  <si>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</si>
  <si>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</si>
  <si>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</si>
  <si>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</si>
  <si>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</si>
  <si>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</si>
  <si>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</si>
  <si>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</si>
  <si>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</si>
  <si>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</si>
  <si>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</si>
  <si>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</si>
  <si>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</si>
  <si>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</si>
  <si>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</si>
  <si>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</si>
  <si>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</si>
  <si>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</si>
  <si>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</si>
  <si>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</si>
  <si>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</si>
  <si>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</si>
  <si>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</si>
  <si>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</si>
  <si>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</si>
  <si>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</si>
  <si>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</si>
  <si>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</si>
  <si>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</si>
  <si>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</si>
  <si>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</si>
  <si>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</si>
  <si>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</si>
  <si>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</si>
  <si>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</si>
  <si>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</si>
  <si>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</si>
  <si>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</si>
  <si>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</si>
  <si>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</si>
  <si>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</si>
  <si>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</si>
  <si>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</si>
  <si>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</si>
  <si>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</si>
  <si>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</si>
  <si>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</si>
  <si>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</si>
  <si>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</si>
  <si>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</si>
  <si>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</si>
  <si>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</si>
  <si>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</si>
  <si>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</si>
  <si>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</si>
  <si>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</si>
  <si>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</si>
  <si>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</si>
  <si>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</si>
  <si>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</si>
  <si>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</si>
  <si>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</si>
  <si>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</si>
  <si>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</si>
  <si>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</si>
  <si>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</si>
  <si>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</si>
  <si>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</si>
  <si>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</si>
  <si>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</si>
  <si>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</si>
  <si>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</si>
  <si>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</si>
  <si>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</si>
  <si>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</si>
  <si>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</si>
  <si>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</si>
  <si>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</si>
  <si>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</si>
  <si>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</si>
  <si>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</si>
  <si>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</si>
  <si>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</si>
  <si>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</si>
  <si>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</si>
  <si>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</si>
  <si>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</si>
  <si>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</si>
  <si>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</si>
  <si>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</si>
  <si>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</si>
  <si>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</si>
  <si>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</si>
  <si>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</si>
  <si>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</si>
  <si>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</si>
  <si>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</si>
  <si>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</si>
  <si>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</si>
  <si>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</si>
  <si>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</si>
  <si>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</si>
  <si>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</si>
  <si>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</si>
  <si>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</si>
  <si>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</si>
  <si>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</si>
  <si>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</si>
  <si>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</si>
  <si>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</si>
  <si>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</si>
  <si>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</si>
  <si>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</si>
  <si>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</si>
  <si>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</si>
  <si>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</si>
  <si>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</si>
  <si>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</si>
  <si>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</si>
  <si>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</si>
  <si>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</si>
  <si>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</si>
  <si>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</si>
  <si>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</si>
  <si>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</si>
  <si>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</si>
  <si>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</si>
  <si>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</si>
  <si>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</si>
  <si>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</si>
  <si>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</si>
  <si>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</si>
  <si>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</si>
  <si>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</si>
  <si>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</si>
  <si>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</si>
  <si>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</si>
  <si>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</si>
  <si>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</si>
  <si>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</si>
  <si>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</si>
  <si>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</si>
  <si>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</si>
  <si>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</si>
  <si>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</si>
  <si>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</si>
  <si>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</si>
  <si>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</si>
  <si>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</si>
  <si>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</si>
  <si>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</si>
  <si>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</si>
  <si>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</si>
  <si>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</si>
  <si>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</si>
  <si>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</si>
  <si>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</si>
  <si>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</si>
  <si>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</si>
  <si>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</si>
  <si>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</si>
  <si>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</si>
  <si>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</si>
  <si>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</si>
  <si>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</si>
  <si>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</si>
  <si>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</si>
  <si>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</si>
  <si>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</si>
  <si>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</si>
  <si>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</si>
  <si>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</si>
  <si>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</si>
  <si>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</si>
  <si>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</si>
  <si>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</si>
  <si>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</si>
  <si>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</si>
  <si>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</si>
  <si>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</si>
  <si>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</si>
  <si>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</si>
  <si>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</si>
  <si>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</si>
  <si>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</si>
  <si>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</si>
  <si>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</si>
  <si>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</si>
  <si>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</si>
  <si>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</si>
  <si>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</si>
  <si>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</si>
  <si>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</si>
  <si>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</si>
  <si>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</si>
  <si>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</si>
  <si>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</si>
  <si>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</si>
  <si>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</si>
  <si>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</si>
  <si>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</si>
  <si>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</si>
  <si>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</si>
  <si>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</si>
  <si>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</si>
  <si>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</si>
  <si>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</si>
  <si>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</si>
  <si>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</si>
  <si>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</si>
  <si>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</si>
  <si>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</si>
  <si>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</si>
  <si>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</si>
  <si>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</si>
  <si>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</si>
  <si>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</si>
  <si>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</si>
  <si>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</si>
  <si>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</si>
  <si>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</si>
  <si>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</si>
  <si>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</si>
  <si>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</si>
  <si>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</si>
  <si>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</si>
  <si>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</si>
  <si>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</si>
  <si>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</si>
  <si>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</si>
  <si>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</si>
  <si>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</si>
  <si>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</si>
  <si>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</si>
  <si>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</si>
  <si>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</si>
  <si>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</si>
  <si>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</si>
  <si>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</si>
  <si>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</si>
  <si>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</si>
  <si>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</si>
  <si>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</si>
  <si>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</si>
  <si>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</si>
  <si>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</si>
  <si>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</si>
  <si>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</si>
  <si>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</si>
  <si>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</si>
  <si>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</si>
  <si>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</si>
  <si>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</si>
  <si>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</si>
  <si>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</si>
  <si>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</si>
  <si>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</si>
  <si>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</si>
  <si>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</si>
  <si>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</si>
  <si>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</si>
  <si>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</si>
  <si>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</si>
  <si>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</si>
  <si>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</si>
  <si>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</si>
  <si>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</si>
  <si>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</si>
  <si>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</si>
  <si>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</si>
  <si>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</si>
  <si>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</si>
  <si>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</si>
  <si>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</si>
  <si>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</si>
  <si>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</si>
  <si>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</si>
  <si>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</si>
  <si>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</si>
  <si>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</si>
  <si>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</si>
  <si>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</si>
  <si>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</si>
  <si>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</si>
  <si>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</si>
  <si>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</si>
  <si>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</si>
  <si>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</si>
  <si>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</si>
  <si>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</si>
  <si>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</si>
  <si>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</si>
  <si>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</si>
  <si>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</si>
  <si>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</si>
  <si>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</si>
  <si>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</si>
  <si>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</si>
  <si>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</si>
  <si>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</si>
  <si>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</si>
  <si>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</si>
  <si>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</si>
  <si>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</si>
  <si>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</si>
  <si>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</si>
  <si>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</si>
  <si>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</si>
  <si>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</si>
  <si>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</si>
  <si>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</si>
  <si>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</si>
  <si>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</si>
  <si>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</si>
  <si>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</si>
  <si>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</si>
  <si>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</si>
  <si>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</si>
  <si>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</si>
  <si>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</si>
  <si>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</si>
  <si>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</si>
  <si>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</si>
  <si>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</si>
  <si>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</si>
  <si>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</si>
  <si>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</si>
  <si>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</si>
  <si>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</si>
  <si>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</si>
  <si>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</si>
  <si>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</si>
  <si>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</si>
  <si>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</si>
  <si>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</si>
  <si>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</si>
  <si>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</si>
  <si>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</si>
  <si>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</si>
  <si>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</si>
  <si>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</si>
  <si>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</si>
  <si>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</si>
  <si>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</si>
  <si>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</si>
  <si>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</si>
  <si>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</si>
  <si>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</si>
  <si>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</si>
  <si>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</si>
  <si>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</si>
  <si>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</si>
  <si>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</si>
  <si>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</si>
  <si>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</si>
  <si>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</si>
  <si>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</si>
  <si>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</si>
  <si>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</si>
  <si>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</si>
  <si>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</si>
  <si>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</si>
  <si>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</si>
  <si>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</si>
  <si>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</si>
  <si>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</si>
  <si>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</si>
  <si>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</si>
  <si>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</si>
  <si>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</si>
  <si>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</si>
  <si>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</si>
  <si>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</si>
  <si>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</si>
  <si>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</si>
  <si>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</si>
  <si>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</si>
  <si>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</si>
  <si>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</si>
  <si>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</si>
  <si>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</si>
  <si>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</si>
  <si>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</si>
  <si>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</si>
  <si>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</si>
  <si>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</si>
  <si>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</si>
  <si>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</si>
  <si>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</si>
  <si>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</si>
  <si>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</si>
  <si>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</si>
  <si>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</si>
  <si>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</si>
  <si>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</si>
  <si>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</si>
  <si>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</si>
  <si>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</si>
  <si>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</si>
  <si>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</si>
  <si>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</si>
  <si>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</si>
  <si>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</si>
  <si>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</si>
  <si>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</si>
  <si>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</si>
  <si>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</si>
  <si>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</si>
  <si>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</si>
  <si>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</si>
  <si>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</si>
  <si>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</si>
  <si>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</si>
  <si>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</si>
  <si>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</si>
  <si>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</si>
  <si>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</si>
  <si>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</si>
  <si>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</si>
  <si>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</si>
  <si>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</si>
  <si>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</si>
  <si>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</si>
  <si>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</si>
  <si>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</si>
  <si>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</si>
  <si>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</si>
  <si>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</si>
  <si>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</si>
  <si>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</si>
  <si>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</si>
  <si>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</si>
  <si>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</si>
  <si>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</si>
  <si>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</si>
  <si>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</si>
  <si>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</si>
  <si>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</si>
  <si>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</si>
  <si>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</si>
  <si>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</si>
  <si>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</si>
  <si>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</si>
  <si>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</si>
  <si>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</si>
  <si>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</si>
  <si>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</si>
  <si>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</si>
  <si>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</si>
  <si>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</si>
  <si>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</si>
  <si>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</si>
  <si>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</si>
  <si>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</si>
  <si>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</si>
  <si>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</si>
  <si>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</si>
  <si>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</si>
  <si>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</si>
  <si>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</si>
  <si>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</si>
  <si>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</si>
  <si>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</si>
  <si>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</si>
  <si>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</si>
  <si>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</si>
  <si>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</si>
  <si>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</si>
  <si>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</si>
  <si>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</si>
  <si>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</si>
  <si>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</si>
  <si>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</si>
  <si>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</si>
  <si>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</si>
  <si>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</si>
  <si>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</si>
  <si>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</si>
  <si>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</si>
  <si>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</si>
  <si>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</si>
  <si>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</si>
  <si>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</si>
  <si>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</si>
  <si>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</si>
  <si>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</si>
  <si>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</si>
  <si>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</si>
  <si>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</si>
  <si>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</si>
  <si>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</si>
  <si>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</si>
  <si>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</si>
  <si>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</si>
  <si>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</si>
  <si>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</si>
  <si>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</si>
  <si>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</si>
  <si>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</si>
  <si>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</si>
  <si>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</si>
  <si>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</si>
  <si>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</si>
  <si>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</si>
  <si>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</si>
  <si>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</si>
  <si>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</si>
  <si>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</si>
  <si>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</si>
  <si>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</si>
  <si>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</si>
  <si>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</si>
  <si>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</si>
  <si>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</si>
  <si>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</si>
  <si>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</si>
  <si>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</si>
  <si>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</si>
  <si>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</si>
  <si>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</si>
  <si>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</si>
  <si>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</si>
  <si>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</si>
  <si>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</si>
  <si>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</si>
  <si>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</si>
  <si>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</si>
  <si>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</si>
  <si>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</si>
  <si>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</si>
  <si>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</si>
  <si>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</si>
  <si>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</si>
  <si>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</si>
  <si>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</si>
  <si>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</si>
  <si>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</si>
  <si>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</si>
  <si>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</si>
  <si>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</si>
  <si>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</si>
  <si>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</si>
  <si>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</si>
  <si>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</si>
  <si>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</si>
  <si>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</si>
  <si>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</si>
  <si>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</si>
  <si>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</si>
  <si>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</si>
  <si>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</si>
  <si>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</si>
  <si>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</si>
  <si>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</si>
  <si>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</si>
  <si>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</si>
  <si>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</si>
  <si>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</si>
  <si>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</si>
  <si>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</si>
  <si>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</si>
  <si>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</si>
  <si>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</si>
  <si>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</si>
  <si>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</si>
  <si>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</si>
  <si>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</si>
  <si>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</si>
  <si>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</si>
  <si>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</si>
  <si>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</si>
  <si>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</si>
  <si>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</si>
  <si>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</si>
  <si>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</si>
  <si>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</si>
  <si>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</si>
  <si>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</si>
  <si>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</si>
  <si>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</si>
  <si>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</si>
  <si>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</si>
  <si>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</si>
  <si>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</si>
  <si>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</si>
  <si>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</si>
  <si>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</si>
  <si>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</si>
  <si>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</si>
  <si>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</si>
  <si>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</si>
  <si>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</si>
  <si>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</si>
  <si>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</si>
  <si>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</si>
  <si>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</si>
  <si>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</si>
  <si>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</si>
  <si>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</si>
  <si>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</si>
  <si>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</si>
  <si>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</si>
  <si>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</si>
  <si>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</si>
  <si>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</si>
  <si>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</si>
  <si>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</si>
  <si>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</si>
  <si>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</si>
  <si>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</si>
  <si>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</si>
  <si>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</si>
  <si>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</si>
  <si>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</si>
  <si>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</si>
  <si>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</si>
  <si>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</si>
  <si>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</si>
  <si>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</si>
  <si>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</si>
  <si>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</si>
  <si>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</si>
  <si>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</si>
  <si>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</si>
  <si>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</si>
  <si>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</si>
  <si>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</si>
  <si>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</si>
  <si>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</si>
  <si>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</si>
  <si>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</si>
  <si>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</si>
  <si>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</si>
  <si>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</si>
  <si>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</si>
  <si>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</si>
  <si>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</si>
  <si>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</si>
  <si>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</si>
  <si>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</si>
  <si>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</si>
  <si>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</si>
  <si>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</si>
  <si>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</si>
  <si>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</si>
  <si>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</si>
  <si>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</si>
  <si>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</si>
  <si>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</si>
  <si>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</si>
  <si>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</si>
  <si>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</si>
  <si>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</si>
  <si>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</si>
  <si>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</si>
  <si>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</si>
  <si>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</si>
  <si>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</si>
  <si>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</si>
  <si>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</si>
  <si>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</si>
  <si>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</si>
  <si>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</si>
  <si>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</si>
  <si>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</si>
  <si>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</si>
  <si>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</si>
  <si>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</si>
  <si>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</si>
  <si>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</si>
  <si>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</si>
  <si>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</si>
  <si>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</si>
  <si>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</si>
  <si>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</si>
  <si>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</si>
  <si>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</si>
  <si>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</si>
  <si>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</si>
  <si>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</si>
  <si>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</si>
  <si>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</si>
  <si>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</si>
  <si>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</si>
  <si>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</si>
  <si>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</si>
  <si>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</si>
  <si>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</si>
  <si>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</si>
  <si>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</si>
  <si>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</si>
  <si>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</si>
  <si>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</si>
  <si>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</si>
  <si>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</si>
  <si>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</si>
  <si>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</si>
  <si>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</si>
  <si>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</si>
  <si>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</si>
  <si>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</si>
  <si>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</si>
  <si>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</si>
  <si>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</si>
  <si>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</si>
  <si>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</si>
  <si>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</si>
  <si>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</si>
  <si>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</si>
  <si>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</si>
  <si>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</si>
  <si>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</si>
  <si>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</si>
  <si>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</si>
  <si>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</si>
  <si>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</si>
  <si>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</si>
  <si>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</si>
  <si>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</si>
  <si>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</si>
  <si>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</si>
  <si>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</si>
  <si>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</si>
  <si>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</si>
  <si>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</si>
  <si>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</si>
  <si>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</si>
  <si>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</si>
  <si>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</si>
  <si>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</si>
  <si>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</si>
  <si>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</si>
  <si>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</si>
  <si>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</si>
  <si>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</si>
  <si>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</si>
  <si>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</si>
  <si>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</si>
  <si>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</si>
  <si>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</si>
  <si>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</si>
  <si>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</si>
  <si>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</si>
  <si>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</si>
  <si>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</si>
  <si>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</si>
  <si>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</si>
  <si>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</si>
  <si>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</si>
  <si>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</si>
  <si>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</si>
  <si>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</si>
  <si>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</si>
  <si>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</si>
  <si>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</si>
  <si>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</si>
  <si>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</si>
  <si>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</si>
  <si>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</si>
  <si>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</si>
  <si>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</si>
  <si>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</si>
  <si>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</si>
  <si>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</si>
  <si>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</si>
  <si>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</si>
  <si>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</si>
  <si>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</si>
  <si>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</si>
  <si>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</si>
  <si>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</si>
  <si>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</si>
  <si>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</si>
  <si>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</si>
  <si>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</si>
  <si>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</si>
  <si>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</si>
  <si>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</si>
  <si>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</si>
  <si>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</si>
  <si>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</si>
  <si>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</si>
  <si>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</si>
  <si>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</si>
  <si>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</si>
  <si>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</si>
  <si>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</si>
  <si>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</si>
  <si>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</si>
  <si>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</si>
  <si>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</si>
  <si>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</si>
  <si>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</si>
  <si>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</si>
  <si>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</si>
  <si>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</si>
  <si>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</si>
  <si>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</si>
  <si>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</si>
  <si>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</si>
  <si>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</si>
  <si>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</si>
  <si>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</si>
  <si>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</si>
  <si>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</si>
  <si>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</si>
  <si>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</si>
  <si>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</si>
  <si>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</si>
  <si>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</si>
  <si>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</si>
  <si>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</si>
  <si>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</si>
  <si>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</si>
  <si>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</si>
  <si>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</si>
  <si>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</si>
  <si>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</si>
  <si>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</si>
  <si>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</si>
  <si>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</si>
  <si>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</si>
  <si>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</si>
  <si>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</si>
  <si>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</si>
  <si>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</si>
  <si>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</si>
  <si>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</si>
  <si>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</si>
  <si>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</si>
  <si>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</si>
  <si>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</si>
  <si>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</si>
  <si>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</si>
  <si>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</si>
  <si>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</si>
  <si>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</si>
  <si>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</si>
  <si>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</si>
  <si>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</si>
  <si>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</si>
  <si>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</si>
  <si>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</si>
  <si>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</si>
  <si>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</si>
  <si>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</si>
  <si>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</si>
  <si>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</si>
  <si>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</si>
  <si>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</si>
  <si>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</si>
  <si>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</si>
  <si>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</si>
  <si>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</si>
  <si>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</si>
  <si>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</si>
  <si>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</si>
  <si>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</si>
  <si>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</si>
  <si>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</si>
  <si>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</si>
  <si>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</si>
  <si>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</si>
  <si>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</si>
  <si>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</si>
  <si>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</si>
  <si>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</si>
  <si>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</si>
  <si>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</si>
  <si>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</si>
  <si>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</si>
  <si>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</si>
  <si>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</si>
  <si>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</si>
  <si>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</si>
  <si>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</si>
  <si>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</si>
  <si>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</si>
  <si>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</si>
  <si>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</si>
  <si>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</si>
  <si>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</si>
  <si>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</si>
  <si>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</si>
  <si>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</si>
  <si>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</si>
  <si>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</si>
  <si>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</si>
  <si>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</si>
  <si>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</si>
  <si>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</si>
  <si>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</si>
  <si>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</si>
  <si>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</si>
  <si>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</si>
  <si>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</si>
  <si>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</si>
  <si>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</si>
  <si>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</si>
  <si>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</si>
  <si>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</si>
  <si>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</si>
  <si>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</si>
  <si>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</si>
  <si>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</si>
  <si>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</si>
  <si>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</si>
  <si>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</si>
  <si>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</si>
  <si>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</si>
  <si>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</si>
  <si>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</si>
  <si>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</si>
  <si>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</si>
  <si>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</si>
  <si>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</si>
  <si>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</si>
  <si>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</si>
  <si>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</si>
  <si>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</si>
  <si>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</si>
  <si>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</si>
  <si>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</si>
  <si>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</si>
  <si>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</si>
  <si>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</si>
  <si>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</si>
  <si>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</si>
  <si>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</si>
  <si>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</si>
  <si>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</si>
  <si>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</si>
  <si>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</si>
  <si>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</si>
  <si>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</si>
  <si>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</si>
  <si>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</si>
  <si>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</si>
  <si>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</si>
  <si>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</si>
  <si>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</si>
  <si>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</si>
  <si>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</si>
  <si>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</si>
  <si>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</si>
  <si>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</si>
  <si>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</si>
  <si>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</si>
  <si>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</si>
  <si>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</si>
  <si>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</si>
  <si>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</si>
  <si>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</si>
  <si>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</si>
  <si>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</si>
  <si>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</si>
  <si>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</si>
  <si>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</si>
  <si>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</si>
  <si>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</si>
  <si>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</si>
  <si>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</si>
  <si>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</si>
  <si>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</si>
  <si>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</si>
  <si>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</si>
  <si>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</si>
  <si>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</si>
  <si>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</si>
  <si>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</si>
  <si>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</si>
  <si>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</si>
  <si>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</si>
  <si>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</si>
  <si>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</si>
  <si>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</si>
  <si>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</si>
  <si>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</si>
  <si>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</si>
  <si>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</si>
  <si>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</si>
  <si>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</si>
  <si>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</si>
  <si>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</si>
  <si>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</si>
  <si>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</si>
  <si>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</si>
  <si>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</si>
  <si>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</si>
  <si>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</si>
  <si>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</si>
  <si>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</si>
  <si>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</si>
  <si>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</si>
  <si>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</si>
  <si>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</si>
  <si>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</si>
  <si>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</si>
  <si>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</si>
  <si>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</si>
  <si>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</si>
  <si>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</si>
  <si>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</si>
  <si>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</si>
  <si>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</si>
  <si>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</si>
  <si>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</si>
  <si>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</si>
  <si>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</si>
  <si>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</si>
  <si>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</si>
  <si>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</si>
  <si>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</si>
  <si>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</si>
  <si>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</si>
  <si>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</si>
  <si>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</si>
  <si>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</si>
  <si>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</si>
  <si>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</si>
  <si>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</si>
  <si>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</si>
  <si>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</si>
  <si>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</si>
  <si>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</si>
  <si>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</si>
  <si>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</si>
  <si>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</si>
  <si>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</si>
  <si>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</si>
  <si>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</si>
  <si>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</si>
  <si>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</si>
  <si>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</si>
  <si>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</si>
  <si>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</si>
  <si>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</si>
  <si>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</si>
  <si>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</si>
  <si>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</si>
  <si>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</si>
  <si>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</si>
  <si>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</si>
  <si>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</si>
  <si>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</si>
  <si>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</si>
  <si>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</si>
  <si>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</si>
  <si>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</si>
  <si>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</si>
  <si>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</si>
  <si>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</si>
  <si>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</si>
  <si>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</si>
  <si>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</si>
  <si>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</si>
  <si>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</si>
  <si>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</si>
  <si>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</si>
  <si>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</si>
  <si>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</si>
  <si>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</si>
  <si>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</si>
  <si>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</si>
  <si>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</si>
  <si>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</si>
  <si>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</si>
  <si>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</si>
  <si>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</si>
  <si>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</si>
  <si>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</si>
  <si>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</si>
  <si>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</si>
  <si>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</si>
  <si>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</si>
  <si>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</si>
  <si>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</si>
  <si>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</si>
  <si>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</si>
  <si>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</si>
  <si>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</si>
  <si>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</si>
  <si>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</si>
  <si>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</si>
  <si>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</si>
  <si>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</si>
  <si>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</si>
  <si>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</si>
  <si>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</si>
  <si>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</si>
  <si>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</si>
  <si>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</si>
  <si>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</si>
  <si>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</si>
  <si>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</si>
  <si>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</si>
  <si>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</si>
  <si>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</si>
  <si>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</si>
  <si>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</si>
  <si>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</si>
  <si>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</si>
  <si>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</si>
  <si>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</si>
  <si>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</si>
  <si>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</si>
  <si>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</si>
  <si>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</si>
  <si>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</si>
  <si>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</si>
  <si>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</si>
  <si>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</si>
  <si>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</si>
  <si>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</si>
  <si>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</si>
  <si>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</si>
  <si>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</si>
  <si>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</si>
  <si>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</si>
  <si>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</si>
  <si>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</si>
  <si>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</si>
  <si>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</si>
  <si>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</si>
  <si>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</si>
  <si>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</si>
  <si>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</si>
  <si>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</si>
  <si>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</si>
  <si>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</si>
  <si>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</si>
  <si>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</si>
  <si>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</si>
  <si>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</si>
  <si>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</si>
  <si>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</si>
  <si>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</si>
  <si>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</si>
  <si>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</si>
  <si>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</si>
  <si>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</si>
  <si>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</si>
  <si>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</si>
  <si>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</si>
  <si>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</si>
  <si>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</si>
  <si>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</si>
  <si>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</si>
  <si>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</si>
  <si>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</si>
  <si>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</si>
  <si>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</si>
  <si>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</si>
  <si>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</si>
  <si>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</si>
  <si>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</si>
  <si>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</si>
  <si>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</si>
  <si>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</si>
  <si>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</si>
  <si>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</si>
  <si>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</si>
  <si>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</si>
  <si>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</si>
  <si>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</si>
  <si>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</si>
  <si>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</si>
  <si>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</si>
  <si>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</si>
  <si>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</si>
  <si>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</si>
  <si>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</si>
  <si>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</si>
  <si>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</si>
  <si>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</si>
  <si>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</si>
  <si>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</si>
  <si>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</si>
  <si>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</si>
  <si>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</si>
  <si>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</si>
  <si>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</si>
  <si>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</si>
  <si>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</si>
  <si>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</si>
  <si>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</si>
  <si>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</si>
  <si>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</si>
  <si>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</si>
  <si>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</si>
  <si>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</si>
  <si>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</si>
  <si>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</si>
  <si>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</si>
  <si>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</si>
  <si>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</si>
  <si>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</si>
  <si>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</si>
  <si>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</si>
  <si>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</si>
  <si>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</si>
  <si>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</si>
  <si>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</si>
  <si>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</si>
  <si>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</si>
  <si>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</si>
  <si>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</si>
  <si>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</si>
  <si>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</si>
  <si>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</si>
  <si>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</si>
  <si>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</si>
  <si>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</si>
  <si>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</si>
  <si>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</si>
  <si>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</si>
  <si>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</si>
  <si>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</si>
  <si>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</si>
  <si>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</si>
  <si>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</si>
  <si>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</si>
  <si>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</si>
  <si>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</si>
  <si>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</si>
  <si>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</si>
  <si>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</si>
  <si>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</si>
  <si>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</si>
  <si>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</si>
  <si>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</si>
  <si>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</si>
  <si>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</si>
  <si>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</si>
  <si>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</si>
  <si>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</si>
  <si>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</si>
  <si>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</si>
  <si>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</si>
  <si>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</si>
  <si>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</si>
  <si>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</si>
  <si>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</si>
  <si>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</si>
  <si>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</si>
  <si>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</si>
  <si>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</si>
  <si>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</si>
  <si>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</si>
  <si>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</si>
  <si>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</si>
  <si>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</si>
  <si>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</si>
  <si>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</si>
  <si>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</si>
  <si>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</si>
  <si>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</si>
  <si>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</si>
  <si>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</si>
  <si>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</si>
  <si>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</si>
  <si>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</si>
  <si>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</si>
  <si>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</si>
  <si>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</si>
  <si>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</si>
  <si>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</si>
  <si>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</si>
  <si>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</si>
  <si>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</si>
  <si>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</si>
  <si>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</si>
  <si>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</si>
  <si>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</si>
  <si>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</si>
  <si>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</si>
  <si>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</si>
  <si>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</si>
  <si>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</si>
  <si>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</si>
  <si>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</si>
  <si>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</si>
  <si>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</si>
  <si>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</si>
  <si>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</si>
  <si>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</si>
  <si>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</si>
  <si>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</si>
  <si>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</si>
  <si>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</si>
  <si>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</si>
  <si>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</si>
  <si>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</si>
  <si>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</si>
  <si>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</si>
  <si>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</si>
  <si>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</si>
  <si>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</si>
  <si>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</si>
  <si>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</si>
  <si>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</si>
  <si>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</si>
  <si>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</si>
  <si>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</si>
  <si>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</si>
  <si>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</si>
  <si>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</si>
  <si>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</si>
  <si>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</si>
  <si>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</si>
  <si>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</si>
  <si>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</si>
  <si>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</si>
  <si>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</si>
  <si>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</si>
  <si>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</si>
  <si>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</si>
  <si>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</si>
  <si>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</si>
  <si>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</si>
  <si>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</si>
  <si>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</si>
  <si>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</si>
  <si>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</si>
  <si>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</si>
  <si>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</si>
  <si>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</si>
  <si>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</si>
  <si>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</si>
  <si>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</si>
  <si>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</si>
  <si>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</si>
  <si>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</si>
  <si>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</si>
  <si>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</si>
  <si>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</si>
  <si>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</si>
  <si>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</si>
  <si>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</si>
  <si>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</si>
  <si>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</si>
  <si>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</si>
  <si>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</si>
  <si>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</si>
  <si>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</si>
  <si>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</si>
  <si>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</si>
  <si>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</si>
  <si>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</si>
  <si>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</si>
  <si>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</si>
  <si>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</si>
  <si>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</si>
  <si>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</si>
  <si>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</si>
  <si>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</si>
  <si>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</si>
  <si>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</si>
  <si>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</si>
  <si>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</si>
  <si>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</si>
  <si>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</si>
  <si>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</si>
  <si>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</si>
  <si>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</si>
  <si>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</si>
  <si>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</si>
  <si>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</si>
  <si>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</si>
  <si>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</si>
  <si>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</si>
  <si>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</si>
  <si>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</si>
  <si>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</si>
  <si>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</si>
  <si>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</si>
  <si>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</si>
  <si>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</si>
  <si>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</si>
  <si>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</si>
  <si>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</si>
  <si>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</si>
  <si>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</si>
  <si>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</si>
  <si>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</si>
  <si>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</si>
  <si>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</si>
  <si>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</si>
  <si>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</si>
  <si>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</si>
  <si>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</si>
  <si>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</si>
  <si>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</si>
  <si>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</si>
  <si>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</si>
  <si>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</si>
  <si>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</si>
  <si>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</si>
  <si>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</si>
  <si>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</si>
  <si>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</si>
  <si>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</si>
  <si>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</si>
  <si>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</si>
  <si>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</si>
  <si>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</si>
  <si>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</si>
  <si>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</si>
  <si>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</si>
  <si>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</si>
  <si>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</si>
  <si>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</si>
  <si>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</si>
  <si>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</si>
  <si>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</si>
  <si>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</si>
  <si>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</si>
  <si>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</si>
  <si>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</si>
  <si>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</si>
  <si>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</si>
  <si>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</si>
  <si>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</si>
  <si>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</si>
  <si>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</si>
  <si>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</si>
  <si>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</si>
  <si>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</si>
  <si>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</si>
  <si>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</si>
  <si>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</si>
  <si>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</si>
  <si>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</si>
  <si>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</si>
  <si>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</si>
  <si>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</si>
  <si>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</si>
  <si>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</si>
  <si>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</si>
  <si>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</si>
  <si>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</si>
  <si>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</si>
  <si>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</si>
  <si>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</si>
  <si>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</si>
  <si>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</si>
  <si>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</si>
  <si>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</si>
  <si>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</si>
  <si>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</si>
  <si>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</si>
  <si>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</si>
  <si>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</si>
  <si>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</si>
  <si>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</si>
  <si>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</si>
  <si>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</si>
  <si>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</si>
  <si>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</si>
  <si>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</si>
  <si>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</si>
  <si>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</si>
  <si>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</si>
  <si>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</si>
  <si>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</si>
  <si>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</si>
  <si>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</si>
  <si>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</si>
  <si>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</si>
  <si>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</si>
  <si>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</si>
  <si>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</si>
  <si>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</si>
  <si>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</si>
  <si>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</si>
  <si>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</si>
  <si>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</si>
  <si>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</si>
  <si>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</si>
  <si>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</si>
  <si>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</si>
  <si>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</si>
  <si>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</si>
  <si>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</si>
  <si>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</si>
  <si>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</si>
  <si>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</si>
  <si>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</si>
  <si>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</si>
  <si>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</si>
  <si>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</si>
  <si>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</si>
  <si>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</si>
  <si>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</si>
  <si>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</si>
  <si>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</si>
  <si>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</si>
  <si>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</si>
  <si>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</si>
  <si>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</si>
  <si>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</si>
  <si>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</si>
  <si>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</si>
  <si>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</si>
  <si>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</si>
  <si>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</si>
  <si>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</si>
  <si>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</si>
  <si>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</si>
  <si>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</si>
  <si>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</si>
  <si>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</si>
  <si>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</si>
  <si>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</si>
  <si>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</si>
  <si>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</si>
  <si>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</si>
  <si>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</si>
  <si>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</si>
  <si>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</si>
  <si>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</si>
  <si>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</si>
  <si>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</si>
  <si>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</si>
  <si>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</si>
  <si>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</si>
  <si>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</si>
  <si>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</si>
  <si>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</si>
  <si>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</si>
  <si>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</si>
  <si>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</si>
  <si>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</si>
  <si>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</si>
  <si>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</si>
  <si>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</si>
  <si>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</si>
  <si>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</si>
  <si>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</si>
  <si>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</si>
  <si>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</si>
  <si>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</si>
  <si>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</si>
  <si>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</si>
  <si>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</si>
  <si>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</si>
  <si>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</si>
  <si>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</si>
  <si>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</si>
  <si>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</si>
  <si>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</si>
  <si>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</si>
  <si>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</si>
  <si>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</si>
  <si>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</si>
  <si>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</si>
  <si>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</si>
  <si>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</si>
  <si>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</si>
  <si>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</si>
  <si>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</si>
  <si>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</si>
  <si>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</si>
  <si>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</si>
  <si>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</si>
  <si>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</si>
  <si>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</si>
  <si>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</si>
  <si>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</si>
  <si>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</si>
  <si>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</si>
  <si>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</si>
  <si>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</si>
  <si>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</si>
  <si>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</si>
  <si>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</si>
  <si>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</si>
  <si>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</si>
  <si>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</si>
  <si>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</si>
  <si>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</si>
  <si>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</si>
  <si>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</si>
  <si>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</si>
  <si>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</si>
  <si>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</si>
  <si>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</si>
  <si>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</si>
  <si>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</si>
  <si>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</si>
  <si>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</si>
  <si>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</si>
  <si>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</si>
  <si>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</si>
  <si>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</si>
  <si>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</si>
  <si>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</si>
  <si>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</si>
  <si>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</si>
  <si>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</si>
  <si>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</si>
  <si>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</si>
  <si>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</si>
  <si>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</si>
  <si>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</si>
  <si>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</si>
  <si>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</si>
  <si>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</si>
  <si>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</si>
  <si>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</si>
  <si>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</si>
  <si>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</si>
  <si>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</si>
  <si>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</si>
  <si>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</si>
  <si>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</si>
  <si>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</si>
  <si>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</si>
  <si>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</si>
  <si>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</si>
  <si>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</si>
  <si>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</si>
  <si>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</si>
  <si>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</si>
  <si>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</si>
  <si>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</si>
  <si>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</si>
  <si>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</si>
  <si>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</si>
  <si>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</si>
  <si>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</si>
  <si>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</si>
  <si>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</si>
  <si>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</si>
  <si>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</si>
  <si>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</si>
  <si>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</si>
  <si>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</si>
  <si>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</si>
  <si>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</si>
  <si>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</si>
  <si>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</si>
  <si>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</si>
  <si>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</si>
  <si>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</si>
  <si>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</si>
  <si>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</si>
  <si>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</si>
  <si>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</si>
  <si>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</si>
  <si>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</si>
  <si>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</si>
  <si>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</si>
  <si>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</si>
  <si>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</si>
  <si>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</si>
  <si>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</si>
  <si>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</si>
  <si>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</si>
  <si>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</si>
  <si>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</si>
  <si>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</si>
  <si>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</si>
  <si>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</si>
  <si>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</si>
  <si>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</si>
  <si>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</si>
  <si>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</si>
  <si>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</si>
  <si>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</si>
  <si>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</si>
  <si>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</si>
  <si>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</si>
  <si>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</si>
  <si>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</si>
  <si>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</si>
  <si>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</si>
  <si>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</si>
  <si>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</si>
  <si>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</si>
  <si>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</si>
  <si>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</si>
  <si>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</si>
  <si>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</si>
  <si>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</si>
  <si>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</si>
  <si>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</si>
  <si>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</si>
  <si>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</si>
  <si>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</si>
  <si>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</si>
  <si>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</si>
  <si>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</si>
  <si>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</si>
  <si>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</si>
  <si>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</si>
  <si>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</si>
  <si>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</si>
  <si>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</si>
  <si>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</si>
  <si>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</si>
  <si>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</si>
  <si>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</si>
  <si>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</si>
  <si>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</si>
  <si>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</si>
  <si>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</si>
  <si>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</si>
  <si>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</si>
  <si>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</si>
  <si>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</si>
  <si>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</si>
  <si>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</si>
  <si>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</si>
  <si>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</si>
  <si>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</si>
  <si>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</si>
  <si>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</si>
  <si>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</si>
  <si>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</si>
  <si>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</si>
  <si>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</si>
  <si>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</si>
  <si>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</si>
  <si>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</si>
  <si>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</si>
  <si>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</si>
  <si>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</si>
  <si>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</si>
  <si>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</si>
  <si>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</si>
  <si>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</si>
  <si>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</si>
  <si>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</si>
  <si>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</si>
  <si>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</si>
  <si>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</si>
  <si>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</si>
  <si>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</si>
  <si>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</si>
  <si>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</si>
  <si>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</si>
  <si>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</si>
  <si>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</si>
  <si>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</si>
  <si>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</si>
  <si>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</si>
  <si>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</si>
  <si>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</si>
  <si>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</si>
  <si>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</si>
  <si>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</si>
  <si>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</si>
  <si>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</si>
  <si>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</si>
  <si>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</si>
  <si>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</si>
  <si>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</si>
  <si>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</si>
  <si>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</si>
  <si>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</si>
  <si>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</si>
  <si>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</si>
  <si>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</si>
  <si>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</si>
  <si>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</si>
  <si>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</si>
  <si>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</si>
  <si>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</si>
  <si>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</si>
  <si>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</si>
  <si>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</si>
  <si>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</si>
  <si>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</si>
  <si>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</si>
  <si>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</si>
  <si>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</si>
  <si>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</si>
  <si>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</si>
  <si>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</si>
  <si>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</si>
  <si>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</si>
  <si>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</si>
  <si>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</si>
  <si>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</si>
  <si>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</si>
  <si>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</si>
  <si>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</si>
  <si>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</si>
  <si>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</si>
  <si>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</si>
  <si>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</si>
  <si>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</si>
  <si>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</si>
  <si>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</si>
  <si>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</si>
  <si>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</si>
  <si>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</si>
  <si>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</si>
  <si>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</si>
  <si>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</si>
  <si>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</si>
  <si>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</si>
  <si>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</si>
  <si>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</si>
  <si>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</si>
  <si>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</si>
  <si>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</si>
  <si>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</si>
  <si>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</si>
  <si>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</si>
  <si>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</si>
  <si>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</si>
  <si>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</si>
  <si>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</si>
  <si>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</si>
  <si>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</si>
  <si>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</si>
  <si>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</si>
  <si>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</si>
  <si>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</si>
  <si>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</si>
  <si>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</si>
  <si>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</si>
  <si>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</si>
  <si>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</si>
  <si>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</si>
  <si>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</si>
  <si>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</si>
  <si>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</si>
  <si>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</si>
  <si>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</si>
  <si>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</si>
  <si>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</si>
  <si>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</si>
  <si>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</si>
  <si>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</si>
  <si>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</si>
  <si>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</si>
  <si>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</si>
  <si>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</si>
  <si>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</si>
  <si>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</si>
  <si>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</si>
  <si>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</si>
  <si>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</si>
  <si>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</si>
  <si>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</si>
  <si>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</si>
  <si>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</si>
  <si>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</si>
  <si>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</si>
  <si>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</si>
  <si>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</si>
  <si>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</si>
  <si>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</si>
  <si>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</si>
  <si>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</si>
  <si>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</si>
  <si>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</si>
  <si>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</si>
  <si>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</si>
  <si>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</si>
  <si>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</si>
  <si>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</si>
  <si>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</si>
  <si>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</si>
  <si>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</si>
  <si>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</si>
  <si>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</si>
  <si>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</si>
  <si>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</si>
  <si>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</si>
  <si>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</si>
  <si>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</si>
  <si>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</si>
  <si>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</si>
  <si>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</si>
  <si>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</si>
  <si>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</si>
  <si>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</si>
  <si>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</si>
  <si>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</si>
  <si>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</si>
  <si>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</si>
  <si>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</si>
  <si>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</si>
  <si>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</si>
  <si>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</si>
  <si>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</si>
  <si>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</si>
  <si>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</si>
  <si>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</si>
  <si>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</si>
  <si>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</si>
  <si>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</si>
  <si>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</si>
  <si>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</si>
  <si>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</si>
  <si>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</si>
  <si>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</si>
  <si>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</si>
  <si>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</si>
  <si>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</si>
  <si>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</si>
  <si>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</si>
  <si>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</si>
  <si>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</si>
  <si>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</si>
  <si>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</si>
  <si>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</si>
  <si>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</si>
  <si>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</si>
  <si>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</si>
  <si>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</si>
  <si>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</si>
  <si>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</si>
  <si>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</si>
  <si>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</si>
  <si>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</si>
  <si>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</si>
  <si>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</si>
  <si>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</si>
  <si>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</si>
  <si>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</si>
  <si>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</si>
  <si>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</si>
  <si>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</si>
  <si>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</si>
  <si>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</si>
  <si>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</si>
  <si>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</si>
  <si>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</si>
  <si>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</si>
  <si>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</si>
  <si>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</si>
  <si>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</si>
  <si>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</si>
  <si>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</si>
  <si>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</si>
  <si>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</si>
  <si>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</si>
  <si>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</si>
  <si>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</si>
  <si>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</si>
  <si>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</si>
  <si>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</si>
  <si>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</si>
  <si>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</si>
  <si>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</si>
  <si>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</si>
  <si>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</si>
  <si>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</si>
  <si>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</si>
  <si>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</si>
  <si>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</si>
  <si>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</si>
  <si>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</si>
  <si>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</si>
  <si>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</si>
  <si>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</si>
  <si>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</si>
  <si>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</si>
  <si>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</si>
  <si>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</si>
  <si>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</si>
  <si>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</si>
  <si>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</si>
  <si>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</si>
  <si>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</si>
  <si>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</si>
  <si>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</si>
  <si>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</si>
  <si>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</si>
  <si>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</si>
  <si>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</si>
  <si>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</si>
  <si>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</si>
  <si>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</si>
  <si>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</si>
  <si>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</si>
  <si>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</si>
  <si>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</si>
  <si>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</si>
  <si>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</si>
  <si>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</si>
  <si>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</si>
  <si>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</si>
  <si>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</si>
  <si>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</si>
  <si>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</si>
  <si>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</si>
  <si>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</si>
  <si>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</si>
  <si>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</si>
  <si>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</si>
  <si>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</si>
  <si>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</si>
  <si>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</si>
  <si>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</si>
  <si>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</si>
  <si>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</si>
  <si>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</si>
  <si>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</si>
  <si>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</si>
  <si>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</si>
  <si>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</si>
  <si>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</si>
  <si>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</si>
  <si>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</si>
  <si>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</si>
  <si>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</si>
  <si>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</si>
  <si>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</si>
  <si>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</si>
  <si>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</si>
  <si>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</si>
  <si>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</si>
  <si>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</si>
  <si>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</si>
  <si>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</si>
  <si>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</si>
  <si>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</si>
  <si>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</si>
  <si>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</si>
  <si>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</si>
  <si>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</si>
  <si>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</si>
  <si>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</si>
  <si>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</si>
  <si>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</si>
  <si>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</si>
  <si>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</si>
  <si>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</si>
  <si>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</si>
  <si>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</si>
  <si>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</si>
  <si>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</si>
  <si>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</si>
  <si>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</si>
  <si>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</si>
  <si>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</si>
  <si>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</si>
  <si>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</si>
  <si>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</si>
  <si>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</si>
  <si>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</si>
  <si>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</si>
  <si>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</si>
  <si>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</si>
  <si>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</si>
  <si>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</si>
  <si>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</si>
  <si>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</si>
  <si>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</si>
  <si>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</si>
  <si>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</si>
  <si>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</si>
  <si>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</si>
  <si>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</si>
  <si>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</si>
  <si>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</si>
  <si>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</si>
  <si>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</si>
  <si>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</si>
  <si>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</si>
  <si>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</si>
  <si>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</si>
  <si>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</si>
  <si>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</si>
  <si>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</si>
  <si>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</si>
  <si>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</si>
  <si>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</si>
  <si>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</si>
  <si>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</si>
  <si>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</si>
  <si>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</si>
  <si>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</si>
  <si>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</si>
  <si>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</si>
  <si>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</si>
  <si>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</si>
  <si>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</si>
  <si>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</si>
  <si>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</si>
  <si>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</si>
  <si>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</si>
  <si>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</si>
  <si>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</si>
  <si>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</si>
  <si>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</si>
  <si>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</si>
  <si>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</si>
  <si>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</si>
  <si>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</si>
  <si>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</si>
  <si>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</si>
  <si>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</si>
  <si>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</si>
  <si>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</si>
  <si>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</si>
  <si>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</si>
  <si>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</si>
  <si>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</si>
  <si>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</si>
  <si>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</si>
  <si>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</si>
  <si>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</si>
  <si>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</si>
  <si>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</si>
  <si>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</si>
  <si>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</si>
  <si>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</si>
  <si>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</si>
  <si>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</si>
  <si>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</si>
  <si>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</si>
  <si>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</si>
  <si>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</si>
  <si>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</si>
  <si>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</si>
  <si>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</si>
  <si>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</si>
  <si>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</si>
  <si>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</si>
  <si>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</si>
  <si>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</si>
  <si>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</si>
  <si>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</si>
  <si>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</si>
  <si>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</si>
  <si>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</si>
  <si>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</si>
  <si>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</si>
  <si>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</si>
  <si>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</si>
  <si>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</si>
  <si>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</si>
  <si>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</si>
  <si>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</si>
  <si>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</si>
  <si>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</si>
  <si>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</si>
  <si>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</si>
  <si>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</si>
  <si>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</si>
  <si>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</si>
  <si>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</si>
  <si>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</si>
  <si>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</si>
  <si>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</si>
  <si>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</si>
  <si>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</si>
  <si>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</si>
  <si>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</si>
  <si>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</si>
  <si>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</si>
  <si>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</si>
  <si>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</si>
  <si>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</si>
  <si>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</si>
  <si>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</si>
  <si>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</si>
  <si>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</si>
  <si>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</si>
  <si>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</si>
  <si>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</si>
  <si>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</si>
  <si>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</si>
  <si>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</si>
  <si>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</si>
  <si>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</si>
  <si>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</si>
  <si>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</si>
  <si>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</si>
  <si>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</si>
  <si>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</si>
  <si>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</si>
  <si>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</si>
  <si>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</si>
  <si>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</si>
  <si>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</si>
  <si>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</si>
  <si>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</si>
  <si>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</si>
  <si>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</si>
  <si>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</si>
  <si>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</si>
  <si>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</si>
  <si>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</si>
  <si>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</si>
  <si>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</si>
  <si>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</si>
  <si>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</si>
  <si>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</si>
  <si>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</si>
  <si>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</si>
  <si>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</si>
  <si>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</si>
  <si>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</si>
  <si>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</si>
  <si>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</si>
  <si>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</si>
  <si>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</si>
  <si>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</si>
  <si>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</si>
  <si>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</si>
  <si>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</si>
  <si>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</si>
  <si>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</si>
  <si>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</si>
  <si>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</si>
  <si>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</si>
  <si>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</si>
  <si>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</si>
  <si>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</si>
  <si>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</si>
  <si>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</si>
  <si>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</si>
  <si>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</si>
  <si>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</si>
  <si>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</si>
  <si>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</si>
  <si>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</si>
  <si>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</si>
  <si>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</si>
  <si>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</si>
  <si>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</si>
  <si>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</si>
  <si>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</si>
  <si>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</si>
  <si>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</si>
  <si>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</si>
  <si>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</si>
  <si>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</si>
  <si>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</si>
  <si>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</si>
  <si>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</si>
  <si>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</si>
  <si>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</si>
  <si>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</si>
  <si>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</si>
  <si>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</si>
  <si>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</si>
  <si>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</si>
  <si>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</si>
  <si>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</si>
  <si>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</si>
  <si>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</si>
  <si>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</si>
  <si>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</si>
  <si>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</si>
  <si>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</si>
  <si>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</si>
  <si>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</si>
  <si>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</si>
  <si>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</si>
  <si>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</si>
  <si>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</si>
  <si>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</si>
  <si>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</si>
  <si>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</si>
  <si>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</si>
  <si>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</si>
  <si>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</si>
  <si>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</si>
  <si>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</si>
  <si>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</si>
  <si>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</si>
  <si>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</si>
  <si>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</si>
  <si>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</si>
  <si>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</si>
  <si>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</si>
  <si>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</si>
  <si>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</si>
  <si>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</si>
  <si>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</si>
  <si>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</si>
  <si>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</si>
  <si>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</si>
  <si>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</si>
  <si>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</si>
  <si>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</si>
  <si>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</si>
  <si>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</si>
  <si>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</si>
  <si>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</si>
  <si>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</si>
  <si>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</si>
  <si>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</si>
  <si>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</si>
  <si>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</si>
  <si>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</si>
  <si>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</si>
  <si>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</si>
  <si>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</si>
  <si>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</si>
  <si>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</si>
  <si>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</si>
  <si>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</si>
  <si>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</si>
  <si>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</si>
  <si>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</si>
  <si>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</si>
  <si>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</si>
  <si>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</si>
  <si>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</si>
  <si>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</si>
  <si>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</si>
  <si>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</si>
  <si>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</si>
  <si>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</si>
  <si>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</si>
  <si>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</si>
  <si>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</si>
  <si>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</si>
  <si>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</si>
  <si>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</si>
  <si>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</si>
  <si>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</si>
  <si>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</si>
  <si>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</si>
  <si>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</si>
  <si>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</si>
  <si>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</si>
  <si>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</si>
  <si>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</si>
  <si>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</si>
  <si>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</si>
  <si>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</si>
  <si>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</si>
  <si>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</si>
  <si>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</si>
  <si>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</si>
  <si>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</si>
  <si>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</si>
  <si>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</si>
  <si>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</si>
  <si>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</si>
  <si>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</si>
  <si>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</si>
  <si>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</si>
  <si>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</si>
  <si>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</si>
  <si>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</si>
  <si>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</si>
  <si>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</si>
  <si>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</si>
  <si>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</si>
  <si>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</si>
  <si>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</si>
  <si>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</si>
  <si>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</si>
  <si>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</si>
  <si>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</si>
  <si>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</si>
  <si>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</si>
  <si>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</si>
  <si>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</si>
  <si>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</si>
  <si>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</si>
  <si>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</si>
  <si>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</si>
  <si>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</si>
  <si>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</si>
  <si>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</si>
  <si>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</si>
  <si>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</si>
  <si>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</si>
  <si>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</si>
  <si>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</si>
  <si>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</si>
  <si>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</si>
  <si>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</si>
  <si>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</si>
  <si>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</si>
  <si>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</si>
  <si>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</si>
  <si>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</si>
  <si>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</si>
  <si>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</si>
  <si>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</si>
  <si>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</si>
  <si>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</si>
  <si>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</si>
  <si>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</si>
  <si>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</si>
  <si>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</si>
  <si>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</si>
  <si>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</si>
  <si>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</si>
  <si>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</si>
  <si>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</si>
  <si>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</si>
  <si>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</si>
  <si>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</si>
  <si>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</si>
  <si>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</si>
  <si>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</si>
  <si>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</si>
  <si>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</si>
  <si>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</si>
  <si>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</si>
  <si>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</si>
  <si>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</si>
  <si>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</si>
  <si>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</si>
  <si>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</si>
  <si>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</si>
  <si>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</si>
  <si>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</si>
  <si>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</si>
  <si>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</si>
  <si>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</si>
  <si>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</si>
  <si>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</si>
  <si>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</si>
  <si>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</si>
  <si>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</si>
  <si>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</si>
  <si>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</si>
  <si>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</si>
  <si>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</si>
  <si>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</si>
  <si>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</si>
  <si>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</si>
  <si>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</si>
  <si>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</si>
  <si>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</si>
  <si>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</si>
  <si>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</si>
  <si>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</si>
  <si>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</si>
  <si>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</si>
  <si>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</si>
  <si>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</si>
  <si>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</si>
  <si>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</si>
  <si>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</si>
  <si>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</si>
  <si>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</si>
  <si>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</si>
  <si>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</si>
  <si>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</si>
  <si>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</si>
  <si>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</si>
  <si>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</si>
  <si>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</si>
  <si>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</si>
  <si>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</si>
  <si>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</si>
  <si>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</si>
  <si>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</si>
  <si>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</si>
  <si>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</si>
  <si>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</si>
  <si>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</si>
  <si>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</si>
  <si>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</si>
  <si>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</si>
  <si>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</si>
  <si>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</si>
  <si>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</si>
  <si>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</si>
  <si>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</si>
  <si>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</si>
  <si>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</si>
  <si>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</si>
  <si>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</si>
  <si>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</si>
  <si>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</si>
  <si>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</si>
  <si>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</si>
  <si>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</si>
  <si>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</si>
  <si>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</si>
  <si>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</si>
  <si>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</si>
  <si>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</si>
  <si>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</si>
  <si>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</si>
  <si>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</si>
  <si>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</si>
  <si>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</si>
  <si>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</si>
  <si>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</si>
  <si>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</si>
  <si>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</si>
  <si>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</si>
  <si>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</si>
  <si>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</si>
  <si>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</si>
  <si>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</si>
  <si>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</si>
  <si>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</si>
  <si>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</si>
  <si>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</si>
  <si>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</si>
  <si>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</si>
  <si>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</si>
  <si>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</si>
  <si>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</si>
  <si>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</si>
  <si>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</si>
  <si>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</si>
  <si>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</si>
  <si>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</si>
  <si>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</si>
  <si>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</si>
  <si>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</si>
  <si>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</si>
  <si>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</si>
  <si>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</si>
  <si>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</si>
  <si>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</si>
  <si>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</si>
  <si>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</si>
  <si>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</si>
  <si>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</si>
  <si>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</si>
  <si>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</si>
  <si>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</si>
  <si>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</si>
  <si>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</si>
  <si>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</si>
  <si>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</si>
  <si>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</si>
  <si>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</si>
  <si>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</si>
  <si>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</si>
  <si>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</si>
  <si>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</si>
  <si>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</si>
  <si>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</si>
  <si>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</si>
  <si>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</si>
  <si>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</si>
  <si>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</si>
  <si>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</si>
  <si>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</si>
  <si>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</si>
  <si>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</si>
  <si>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</si>
  <si>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</si>
  <si>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</si>
  <si>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</si>
  <si>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</si>
  <si>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</si>
  <si>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</si>
  <si>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</si>
  <si>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</si>
  <si>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</si>
  <si>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</si>
  <si>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</si>
  <si>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</si>
  <si>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</si>
  <si>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</si>
  <si>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</si>
  <si>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</si>
  <si>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</si>
  <si>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</si>
  <si>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</si>
  <si>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</si>
  <si>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</si>
  <si>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</si>
  <si>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</si>
  <si>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</si>
  <si>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</si>
  <si>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</si>
  <si>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</si>
  <si>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</si>
  <si>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</si>
  <si>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</si>
  <si>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</si>
  <si>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</si>
  <si>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</si>
  <si>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</si>
  <si>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</si>
  <si>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</si>
  <si>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</si>
  <si>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</si>
  <si>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</si>
  <si>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</si>
  <si>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</si>
  <si>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</si>
  <si>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</si>
  <si>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</si>
  <si>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</si>
  <si>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</si>
  <si>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</si>
  <si>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</si>
  <si>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</si>
  <si>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</si>
  <si>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</si>
  <si>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</si>
  <si>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</si>
  <si>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</si>
  <si>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</si>
  <si>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</si>
  <si>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</si>
  <si>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</si>
  <si>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</si>
  <si>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</si>
  <si>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</si>
  <si>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</si>
  <si>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</si>
  <si>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</si>
  <si>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</si>
  <si>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</si>
  <si>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</si>
  <si>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</si>
  <si>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</si>
  <si>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</si>
  <si>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</si>
  <si>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</si>
  <si>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</si>
  <si>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</si>
  <si>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</si>
  <si>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</si>
  <si>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</si>
  <si>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</si>
  <si>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</si>
  <si>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</si>
  <si>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</si>
  <si>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</si>
  <si>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</si>
  <si>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</si>
  <si>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</si>
  <si>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</si>
  <si>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</si>
  <si>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</si>
  <si>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</si>
  <si>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</si>
  <si>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</si>
  <si>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</si>
  <si>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</si>
  <si>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</si>
  <si>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</si>
  <si>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</si>
  <si>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</si>
  <si>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</si>
  <si>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</si>
  <si>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</si>
  <si>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</si>
  <si>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</si>
  <si>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</si>
  <si>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</si>
  <si>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</si>
  <si>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</si>
  <si>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</si>
  <si>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</si>
  <si>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</si>
  <si>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</si>
  <si>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</si>
  <si>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</si>
  <si>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</si>
  <si>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</si>
  <si>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</si>
  <si>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</si>
  <si>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</si>
  <si>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</si>
  <si>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</si>
  <si>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</si>
  <si>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</si>
  <si>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</si>
  <si>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</si>
  <si>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</si>
  <si>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</si>
  <si>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</si>
  <si>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</si>
  <si>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</si>
  <si>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</si>
  <si>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</si>
  <si>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</si>
  <si>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</si>
  <si>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</si>
  <si>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</si>
  <si>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</si>
  <si>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</si>
  <si>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</si>
  <si>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</si>
  <si>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</si>
  <si>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</si>
  <si>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</si>
  <si>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</si>
  <si>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</si>
  <si>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</si>
  <si>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</si>
  <si>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</si>
  <si>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</si>
  <si>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</si>
  <si>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</si>
  <si>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</si>
  <si>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</si>
  <si>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</si>
  <si>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</si>
  <si>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</si>
  <si>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</si>
  <si>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</si>
  <si>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</si>
  <si>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</si>
  <si>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</si>
  <si>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</si>
  <si>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</si>
  <si>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</si>
  <si>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</si>
  <si>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</si>
  <si>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</si>
  <si>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</si>
  <si>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</si>
  <si>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</si>
  <si>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</si>
  <si>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</si>
  <si>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</si>
  <si>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</si>
  <si>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</si>
  <si>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</si>
  <si>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</si>
  <si>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</si>
  <si>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</si>
  <si>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</si>
  <si>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</si>
  <si>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</si>
  <si>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</si>
  <si>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</si>
  <si>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</si>
  <si>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</si>
  <si>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</si>
  <si>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</si>
  <si>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</si>
  <si>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</si>
  <si>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</si>
  <si>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</si>
  <si>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</si>
  <si>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</si>
  <si>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</si>
  <si>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</si>
  <si>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</si>
  <si>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</si>
  <si>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</si>
  <si>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</si>
  <si>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</si>
  <si>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</si>
  <si>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</si>
  <si>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</si>
  <si>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</si>
  <si>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</si>
  <si>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</si>
  <si>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</si>
  <si>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</si>
  <si>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</si>
  <si>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</si>
  <si>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</si>
  <si>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</si>
  <si>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</si>
  <si>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</si>
  <si>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</si>
  <si>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</si>
  <si>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</si>
  <si>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</si>
  <si>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</si>
  <si>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</si>
  <si>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</si>
  <si>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</si>
  <si>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</si>
  <si>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</si>
  <si>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</si>
  <si>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</si>
  <si>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</si>
  <si>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</si>
  <si>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</si>
  <si>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</si>
  <si>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</si>
  <si>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</si>
  <si>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</si>
  <si>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</si>
  <si>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</si>
  <si>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</si>
  <si>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</si>
  <si>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</si>
  <si>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</si>
  <si>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</si>
  <si>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</si>
  <si>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</si>
  <si>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</si>
  <si>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</si>
  <si>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</si>
  <si>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</si>
  <si>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</si>
  <si>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</si>
  <si>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</si>
  <si>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</si>
  <si>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</si>
  <si>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</si>
  <si>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</si>
  <si>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</si>
  <si>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</si>
  <si>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</si>
  <si>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</si>
  <si>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</si>
  <si>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</si>
  <si>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</si>
  <si>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</si>
  <si>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</si>
  <si>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</si>
  <si>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</si>
  <si>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</si>
  <si>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</si>
  <si>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</si>
  <si>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</si>
  <si>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</si>
  <si>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</si>
  <si>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</si>
  <si>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</si>
  <si>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</si>
  <si>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</si>
  <si>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</si>
  <si>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</si>
  <si>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</si>
  <si>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</si>
  <si>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</si>
  <si>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</si>
  <si>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</si>
  <si>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</si>
  <si>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</si>
  <si>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</si>
  <si>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</si>
  <si>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</si>
  <si>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</si>
  <si>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</si>
  <si>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</si>
  <si>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</si>
  <si>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</si>
  <si>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</si>
  <si>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</si>
  <si>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</si>
  <si>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</si>
  <si>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</si>
  <si>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</si>
  <si>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</si>
  <si>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</si>
  <si>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</si>
  <si>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</si>
  <si>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</si>
  <si>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</si>
  <si>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</si>
  <si>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</si>
  <si>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</si>
  <si>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</si>
  <si>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</si>
  <si>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</si>
  <si>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</si>
  <si>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</si>
  <si>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</si>
  <si>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</si>
  <si>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</si>
  <si>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</si>
  <si>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</si>
  <si>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</si>
  <si>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</si>
  <si>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</si>
  <si>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</si>
  <si>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</si>
  <si>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</si>
  <si>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</si>
  <si>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</si>
  <si>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</si>
  <si>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</si>
  <si>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</si>
  <si>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</si>
  <si>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</si>
  <si>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</si>
  <si>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</si>
  <si>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</si>
  <si>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</si>
  <si>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</si>
  <si>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</si>
  <si>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</si>
  <si>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</si>
  <si>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</si>
  <si>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</si>
  <si>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</si>
  <si>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</si>
  <si>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</si>
  <si>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</si>
  <si>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</si>
  <si>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</si>
  <si>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</si>
  <si>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</si>
  <si>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</si>
  <si>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</si>
  <si>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</si>
  <si>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</si>
  <si>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</si>
  <si>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</si>
  <si>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</si>
  <si>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</si>
  <si>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</si>
  <si>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</si>
  <si>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</si>
  <si>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</si>
  <si>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</si>
  <si>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</si>
  <si>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</si>
  <si>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</si>
  <si>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</si>
  <si>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</si>
  <si>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</si>
  <si>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</si>
  <si>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</si>
  <si>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</si>
  <si>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</si>
  <si>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</si>
  <si>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</si>
  <si>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</si>
  <si>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</si>
  <si>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</si>
  <si>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</si>
  <si>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</si>
  <si>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</si>
  <si>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</si>
  <si>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</si>
  <si>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</si>
  <si>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</si>
  <si>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</si>
  <si>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</si>
  <si>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</si>
  <si>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</si>
  <si>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</si>
  <si>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</si>
  <si>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</si>
  <si>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</si>
  <si>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</si>
  <si>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</si>
  <si>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</si>
  <si>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</si>
  <si>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</si>
  <si>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</si>
  <si>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</si>
  <si>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</si>
  <si>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</si>
  <si>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</si>
  <si>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</si>
  <si>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</si>
  <si>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</si>
  <si>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</si>
  <si>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</si>
  <si>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</si>
  <si>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</si>
  <si>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</si>
  <si>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</si>
  <si>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</si>
  <si>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</si>
  <si>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</si>
  <si>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</si>
  <si>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</si>
  <si>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</si>
  <si>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</si>
  <si>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</si>
  <si>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</si>
  <si>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</si>
  <si>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</si>
  <si>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</si>
  <si>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</si>
  <si>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</si>
  <si>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</si>
  <si>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</si>
  <si>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</si>
  <si>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</si>
  <si>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</si>
  <si>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</si>
  <si>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</si>
  <si>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</si>
  <si>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</si>
  <si>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</si>
  <si>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</si>
  <si>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</si>
  <si>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</si>
  <si>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</si>
  <si>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</si>
  <si>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</si>
  <si>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</si>
  <si>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</si>
  <si>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</si>
  <si>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</si>
  <si>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</si>
  <si>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</si>
  <si>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</si>
  <si>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</si>
  <si>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</si>
  <si>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</si>
  <si>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</si>
  <si>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</si>
  <si>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</si>
  <si>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</si>
  <si>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</si>
  <si>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</si>
  <si>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</si>
  <si>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</si>
  <si>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</si>
  <si>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</si>
  <si>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</si>
  <si>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</si>
  <si>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</si>
  <si>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</si>
  <si>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</si>
  <si>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</si>
  <si>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</si>
  <si>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</si>
  <si>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</si>
  <si>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</si>
  <si>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</si>
  <si>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</si>
  <si>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</si>
  <si>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</si>
  <si>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</si>
  <si>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</si>
  <si>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</si>
  <si>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</si>
  <si>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</si>
  <si>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</si>
  <si>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</si>
  <si>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</si>
  <si>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</si>
  <si>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</si>
  <si>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</si>
  <si>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</si>
  <si>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</si>
  <si>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</si>
  <si>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</si>
  <si>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</si>
  <si>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</si>
  <si>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</si>
  <si>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</si>
  <si>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</si>
  <si>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</si>
  <si>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</si>
  <si>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</si>
  <si>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</si>
  <si>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</si>
  <si>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</si>
  <si>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</si>
  <si>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</si>
  <si>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</si>
  <si>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</si>
  <si>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</si>
  <si>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</si>
  <si>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</si>
  <si>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</si>
  <si>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</si>
  <si>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</si>
  <si>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</si>
  <si>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</si>
  <si>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</si>
  <si>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</si>
  <si>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</si>
  <si>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</si>
  <si>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</si>
  <si>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</si>
  <si>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</si>
  <si>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</si>
  <si>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</si>
  <si>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</si>
  <si>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</si>
  <si>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</si>
  <si>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</si>
  <si>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</si>
  <si>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</si>
  <si>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</si>
  <si>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</si>
  <si>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</si>
  <si>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</si>
  <si>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</si>
  <si>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</si>
  <si>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</si>
  <si>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</si>
  <si>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</si>
  <si>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</si>
  <si>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</si>
  <si>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</si>
  <si>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</si>
  <si>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</si>
  <si>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</si>
  <si>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</si>
  <si>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</si>
  <si>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</si>
  <si>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</si>
  <si>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</si>
  <si>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</si>
  <si>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</si>
  <si>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</si>
  <si>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</si>
  <si>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</si>
  <si>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</si>
  <si>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</si>
  <si>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</si>
  <si>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</si>
  <si>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</si>
  <si>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</si>
  <si>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</si>
  <si>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</si>
  <si>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</si>
  <si>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</si>
  <si>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</si>
  <si>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</si>
  <si>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</si>
  <si>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</si>
  <si>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</si>
  <si>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</si>
  <si>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</si>
  <si>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</si>
  <si>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</si>
  <si>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</si>
  <si>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</si>
  <si>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</si>
  <si>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</si>
  <si>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</si>
  <si>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</si>
  <si>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</si>
  <si>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</si>
  <si>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</si>
  <si>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</si>
  <si>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</si>
  <si>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</si>
  <si>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</si>
  <si>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</si>
  <si>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</si>
  <si>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</si>
  <si>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</si>
  <si>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</si>
  <si>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</si>
  <si>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</si>
  <si>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</si>
  <si>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</si>
  <si>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</si>
  <si>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</si>
  <si>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</si>
  <si>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</si>
  <si>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</si>
  <si>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</si>
  <si>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</si>
  <si>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</si>
  <si>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</si>
  <si>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</si>
  <si>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</si>
  <si>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</si>
  <si>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</si>
  <si>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</si>
  <si>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</si>
  <si>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</si>
  <si>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</si>
  <si>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</si>
  <si>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</si>
  <si>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</si>
  <si>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</si>
  <si>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</si>
  <si>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</si>
  <si>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</si>
  <si>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</si>
  <si>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</si>
  <si>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</si>
  <si>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</si>
  <si>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</si>
  <si>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</si>
  <si>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</si>
  <si>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</si>
  <si>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</si>
  <si>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</si>
  <si>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</si>
  <si>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</si>
  <si>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</si>
  <si>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</si>
  <si>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</si>
  <si>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</si>
  <si>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</si>
  <si>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</si>
  <si>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</si>
  <si>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</si>
  <si>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</si>
  <si>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</si>
  <si>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</si>
  <si>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</si>
  <si>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</si>
  <si>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</si>
  <si>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</si>
  <si>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</si>
  <si>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</si>
  <si>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</si>
  <si>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</si>
  <si>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</si>
  <si>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</si>
  <si>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</si>
  <si>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</si>
  <si>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</si>
  <si>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</si>
  <si>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</si>
  <si>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</si>
  <si>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</si>
  <si>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</si>
  <si>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</si>
  <si>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</si>
  <si>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</si>
  <si>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</si>
  <si>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</si>
  <si>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</si>
  <si>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</si>
  <si>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</si>
  <si>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</si>
  <si>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</si>
  <si>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</si>
  <si>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</si>
  <si>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</si>
  <si>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</si>
  <si>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</si>
  <si>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</si>
  <si>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</si>
  <si>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</si>
  <si>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</si>
  <si>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</si>
  <si>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</si>
  <si>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</si>
  <si>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</si>
  <si>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</si>
  <si>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</si>
  <si>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</si>
  <si>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</si>
  <si>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</si>
  <si>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</si>
  <si>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</si>
  <si>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</si>
  <si>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</si>
  <si>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</si>
  <si>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</si>
  <si>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</si>
  <si>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</si>
  <si>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</si>
  <si>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</si>
  <si>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</si>
  <si>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</si>
  <si>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</si>
  <si>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</si>
  <si>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</si>
  <si>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</si>
  <si>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</si>
  <si>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</si>
  <si>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</si>
  <si>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</si>
  <si>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</si>
  <si>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</si>
  <si>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</si>
  <si>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</si>
  <si>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</si>
  <si>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</si>
  <si>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</si>
  <si>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</si>
  <si>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</si>
  <si>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</si>
  <si>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</si>
  <si>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</si>
  <si>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</si>
  <si>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</si>
  <si>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</si>
  <si>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</si>
  <si>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</si>
  <si>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</si>
  <si>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</si>
  <si>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</si>
  <si>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</si>
  <si>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</si>
  <si>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</si>
  <si>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</si>
  <si>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</si>
  <si>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</si>
  <si>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</si>
  <si>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</si>
  <si>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</si>
  <si>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</si>
  <si>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</si>
  <si>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</si>
  <si>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</si>
  <si>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</si>
  <si>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</si>
  <si>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</si>
  <si>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</si>
  <si>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</si>
  <si>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</si>
  <si>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</si>
  <si>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</si>
  <si>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</si>
  <si>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</si>
  <si>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</si>
  <si>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</si>
  <si>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</si>
  <si>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</si>
  <si>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</si>
  <si>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</si>
  <si>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</si>
  <si>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</si>
  <si>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</si>
  <si>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</si>
  <si>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</si>
  <si>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</si>
  <si>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</si>
  <si>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</si>
  <si>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</si>
  <si>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</si>
  <si>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</si>
  <si>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</si>
  <si>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</si>
  <si>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</si>
  <si>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</si>
  <si>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</si>
  <si>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</si>
  <si>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</si>
  <si>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</si>
  <si>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</si>
  <si>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</si>
  <si>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</si>
  <si>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</si>
  <si>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</si>
  <si>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</si>
  <si>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</si>
  <si>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</si>
  <si>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</si>
  <si>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</si>
  <si>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</si>
  <si>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</si>
  <si>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</si>
  <si>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</si>
  <si>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</si>
  <si>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</si>
  <si>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</si>
  <si>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</si>
  <si>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</si>
  <si>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</si>
  <si>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</si>
  <si>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</si>
  <si>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</si>
  <si>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</si>
  <si>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</si>
  <si>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</si>
  <si>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</si>
  <si>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</si>
  <si>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</si>
  <si>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</si>
  <si>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</si>
  <si>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</si>
  <si>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</si>
  <si>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</si>
  <si>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</si>
  <si>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</si>
  <si>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</si>
  <si>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</si>
  <si>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</si>
  <si>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</si>
  <si>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</si>
  <si>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</si>
  <si>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</si>
  <si>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</si>
  <si>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</si>
  <si>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</si>
  <si>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</si>
  <si>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</si>
  <si>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</si>
  <si>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</si>
  <si>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</si>
  <si>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</si>
  <si>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</si>
  <si>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</si>
  <si>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</si>
  <si>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</si>
  <si>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</si>
  <si>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</si>
  <si>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</si>
  <si>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</si>
  <si>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</si>
  <si>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</si>
  <si>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</si>
  <si>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</si>
  <si>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</si>
  <si>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</si>
  <si>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</si>
  <si>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</si>
  <si>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</si>
  <si>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</si>
  <si>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</si>
  <si>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</si>
  <si>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</si>
  <si>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</si>
  <si>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</si>
  <si>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</si>
  <si>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</si>
  <si>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</si>
  <si>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</si>
  <si>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</si>
  <si>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</si>
  <si>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</si>
  <si>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</si>
  <si>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</si>
  <si>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</si>
  <si>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</si>
  <si>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</si>
  <si>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</si>
  <si>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</si>
  <si>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</si>
  <si>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</si>
  <si>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</si>
  <si>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</si>
  <si>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</si>
  <si>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</si>
  <si>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</si>
  <si>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</si>
  <si>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</si>
  <si>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</si>
  <si>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</si>
  <si>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</si>
  <si>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</si>
  <si>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</si>
  <si>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</si>
  <si>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</si>
  <si>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</si>
  <si>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</si>
  <si>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</si>
  <si>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</si>
  <si>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</si>
  <si>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</si>
  <si>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</si>
  <si>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</si>
  <si>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</si>
  <si>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</si>
  <si>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</si>
  <si>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</si>
  <si>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</si>
  <si>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</si>
  <si>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</si>
  <si>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</si>
  <si>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</si>
  <si>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</si>
  <si>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</si>
  <si>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</si>
  <si>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</si>
  <si>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</si>
  <si>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</si>
  <si>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</si>
  <si>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</si>
  <si>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</si>
  <si>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</si>
  <si>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</si>
  <si>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</si>
  <si>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</si>
  <si>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</si>
  <si>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</si>
  <si>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</si>
  <si>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</si>
  <si>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</si>
  <si>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</si>
  <si>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</si>
  <si>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</si>
  <si>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</si>
  <si>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</si>
  <si>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</si>
  <si>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</si>
  <si>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</si>
  <si>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</si>
  <si>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</si>
  <si>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</si>
  <si>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</si>
  <si>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</si>
  <si>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</si>
  <si>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</si>
  <si>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</si>
  <si>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</si>
  <si>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</si>
  <si>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</si>
  <si>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</si>
  <si>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</si>
  <si>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</si>
  <si>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</si>
  <si>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</si>
  <si>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</si>
  <si>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</si>
  <si>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</si>
  <si>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</si>
  <si>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</si>
  <si>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</si>
  <si>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</si>
  <si>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</si>
  <si>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</si>
  <si>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</si>
  <si>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</si>
  <si>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</si>
  <si>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</si>
  <si>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</si>
  <si>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</si>
  <si>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</si>
  <si>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</si>
  <si>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</si>
  <si>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</si>
  <si>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</si>
  <si>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</si>
  <si>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</si>
  <si>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</si>
  <si>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</si>
  <si>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</si>
  <si>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</si>
  <si>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</si>
  <si>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</si>
  <si>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</si>
  <si>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</si>
  <si>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</si>
  <si>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</si>
  <si>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</si>
  <si>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</si>
  <si>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</si>
  <si>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</si>
  <si>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</si>
  <si>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</si>
  <si>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</si>
  <si>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</si>
  <si>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</si>
  <si>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</si>
  <si>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</si>
  <si>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</si>
  <si>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</si>
  <si>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</si>
  <si>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</si>
  <si>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</si>
  <si>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</si>
  <si>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</si>
  <si>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</si>
  <si>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</si>
  <si>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</si>
  <si>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</si>
  <si>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</si>
  <si>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</si>
  <si>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</si>
  <si>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</si>
  <si>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</si>
  <si>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</si>
  <si>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</si>
  <si>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</si>
  <si>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</si>
  <si>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</si>
  <si>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</si>
  <si>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</si>
  <si>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</si>
  <si>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</si>
  <si>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</si>
  <si>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</si>
  <si>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</si>
  <si>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</si>
  <si>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</si>
  <si>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</si>
  <si>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</si>
  <si>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</si>
  <si>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</si>
  <si>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</si>
  <si>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</si>
  <si>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</si>
  <si>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</si>
  <si>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</si>
  <si>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</si>
  <si>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</si>
  <si>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</si>
  <si>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</si>
  <si>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</si>
  <si>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</si>
  <si>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</si>
  <si>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</si>
  <si>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</si>
  <si>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</si>
  <si>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</si>
  <si>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</si>
  <si>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</si>
  <si>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</si>
  <si>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</si>
  <si>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</si>
  <si>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</si>
  <si>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</si>
  <si>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</si>
  <si>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</si>
  <si>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</si>
  <si>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</si>
  <si>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</si>
  <si>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</si>
  <si>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</si>
  <si>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</si>
  <si>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</si>
  <si>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</si>
  <si>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</si>
  <si>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</si>
  <si>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</si>
  <si>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</si>
  <si>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</si>
  <si>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</si>
  <si>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</si>
  <si>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</si>
  <si>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</si>
  <si>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</si>
  <si>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</si>
  <si>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</si>
  <si>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</si>
  <si>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</si>
  <si>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</si>
  <si>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</si>
  <si>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</si>
  <si>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</si>
  <si>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</si>
  <si>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</si>
  <si>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</si>
  <si>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</si>
  <si>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</si>
  <si>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</si>
  <si>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</si>
  <si>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</si>
  <si>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</si>
  <si>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</si>
  <si>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</si>
  <si>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</si>
  <si>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</si>
  <si>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</si>
  <si>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</si>
  <si>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</si>
  <si>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</si>
  <si>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</si>
  <si>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</si>
  <si>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</si>
  <si>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</si>
  <si>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</si>
  <si>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</si>
  <si>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</si>
  <si>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</si>
  <si>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</si>
  <si>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</si>
  <si>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</si>
  <si>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</si>
  <si>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</si>
  <si>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</si>
  <si>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</si>
  <si>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</si>
  <si>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</si>
  <si>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</si>
  <si>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</si>
  <si>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</si>
  <si>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</si>
  <si>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</si>
  <si>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</si>
  <si>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</si>
  <si>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</si>
  <si>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</si>
  <si>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</si>
  <si>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</si>
  <si>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</si>
  <si>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</si>
  <si>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</si>
  <si>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</si>
  <si>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</si>
  <si>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</si>
  <si>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</si>
  <si>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</si>
  <si>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</si>
  <si>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</si>
  <si>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</si>
  <si>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</si>
  <si>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</si>
  <si>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</si>
  <si>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</si>
  <si>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</si>
  <si>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</si>
  <si>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</si>
  <si>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</si>
  <si>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</si>
  <si>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</si>
  <si>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</si>
  <si>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</si>
  <si>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</si>
  <si>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</si>
  <si>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</si>
  <si>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</si>
  <si>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</si>
  <si>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</si>
  <si>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</si>
  <si>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</si>
  <si>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</si>
  <si>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</si>
  <si>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</si>
  <si>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</si>
  <si>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</si>
  <si>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</si>
  <si>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</si>
  <si>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</si>
  <si>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</si>
  <si>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</si>
  <si>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</si>
  <si>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</si>
  <si>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</si>
  <si>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</si>
  <si>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</si>
  <si>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</si>
  <si>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</si>
  <si>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</si>
  <si>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</si>
  <si>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</si>
  <si>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</si>
  <si>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</si>
  <si>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</si>
  <si>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</si>
  <si>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</si>
  <si>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</si>
  <si>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</si>
  <si>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</si>
  <si>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</si>
  <si>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</si>
  <si>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</si>
  <si>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</si>
  <si>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</si>
  <si>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</si>
  <si>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</si>
  <si>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</si>
  <si>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</si>
  <si>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</si>
  <si>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</si>
  <si>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</si>
  <si>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</si>
  <si>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</si>
  <si>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</si>
  <si>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</si>
  <si>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</si>
  <si>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</si>
  <si>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</si>
  <si>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</si>
  <si>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</si>
  <si>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</si>
  <si>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</si>
  <si>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</si>
  <si>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</si>
  <si>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</si>
  <si>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</si>
  <si>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</si>
  <si>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</si>
  <si>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</si>
  <si>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</si>
  <si>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</si>
  <si>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</si>
  <si>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</si>
  <si>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</si>
  <si>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</si>
  <si>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</si>
  <si>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</si>
  <si>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</si>
  <si>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</si>
  <si>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</si>
  <si>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</si>
  <si>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</si>
  <si>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</si>
  <si>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</si>
  <si>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</si>
  <si>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</si>
  <si>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</si>
  <si>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</si>
  <si>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</si>
  <si>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</si>
  <si>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</si>
  <si>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</si>
  <si>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</si>
  <si>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</si>
  <si>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</si>
  <si>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</si>
  <si>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</si>
  <si>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</si>
  <si>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</si>
  <si>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</si>
  <si>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</si>
  <si>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</si>
  <si>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</si>
  <si>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</si>
  <si>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</si>
  <si>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</si>
  <si>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</si>
  <si>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</si>
  <si>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</si>
  <si>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</si>
  <si>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</si>
  <si>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</si>
  <si>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</si>
  <si>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</si>
  <si>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</si>
  <si>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</si>
  <si>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</si>
  <si>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</si>
  <si>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</si>
  <si>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</si>
  <si>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</si>
  <si>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</si>
  <si>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</si>
  <si>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</si>
  <si>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</si>
  <si>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</si>
  <si>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</si>
  <si>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</si>
  <si>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</si>
  <si>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</si>
  <si>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</si>
  <si>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</si>
  <si>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</si>
  <si>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</si>
  <si>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</si>
  <si>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</si>
  <si>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</si>
  <si>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</si>
  <si>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</si>
  <si>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</si>
  <si>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</si>
  <si>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</si>
  <si>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</si>
  <si>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</si>
  <si>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</si>
  <si>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</si>
  <si>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</si>
  <si>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</si>
  <si>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</si>
  <si>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</si>
  <si>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</si>
  <si>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</si>
  <si>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</si>
  <si>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</si>
  <si>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</si>
  <si>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</si>
  <si>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</si>
  <si>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</si>
  <si>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</si>
  <si>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</si>
  <si>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</si>
  <si>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</si>
  <si>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</si>
  <si>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</si>
  <si>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</si>
  <si>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</si>
  <si>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</si>
  <si>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</si>
  <si>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</si>
  <si>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</si>
  <si>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</si>
  <si>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</si>
  <si>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</si>
  <si>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</si>
  <si>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</si>
  <si>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</si>
  <si>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</si>
  <si>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</si>
  <si>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</si>
  <si>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</si>
  <si>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</si>
  <si>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</si>
  <si>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</si>
  <si>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</si>
  <si>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</si>
  <si>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</si>
  <si>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</si>
  <si>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</si>
  <si>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</si>
  <si>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</si>
  <si>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</si>
  <si>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</si>
  <si>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</si>
  <si>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</si>
  <si>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</si>
  <si>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</si>
  <si>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</si>
  <si>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</si>
  <si>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</si>
  <si>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</si>
  <si>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</si>
  <si>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</si>
  <si>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</si>
  <si>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</si>
  <si>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</si>
  <si>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</si>
  <si>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</si>
  <si>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</si>
  <si>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</si>
  <si>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</si>
  <si>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</si>
  <si>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</si>
  <si>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</si>
  <si>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</si>
  <si>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</si>
  <si>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</si>
  <si>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</si>
  <si>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</si>
  <si>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</si>
  <si>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</si>
  <si>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</si>
  <si>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</si>
  <si>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</si>
  <si>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</si>
  <si>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</si>
  <si>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</si>
  <si>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</si>
  <si>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</si>
  <si>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</si>
  <si>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</si>
  <si>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</si>
  <si>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</si>
  <si>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</si>
  <si>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</si>
  <si>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</si>
  <si>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</si>
  <si>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</si>
  <si>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</si>
  <si>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</si>
  <si>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</si>
  <si>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</si>
  <si>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</si>
  <si>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</si>
  <si>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</si>
  <si>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</si>
  <si>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</si>
  <si>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</si>
  <si>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</si>
  <si>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</si>
  <si>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</si>
  <si>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</si>
  <si>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</si>
  <si>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</si>
  <si>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</si>
  <si>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</si>
  <si>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</si>
  <si>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</si>
  <si>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</si>
  <si>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</si>
  <si>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</si>
  <si>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</si>
  <si>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</si>
  <si>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</si>
  <si>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</si>
  <si>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</si>
  <si>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</si>
  <si>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</si>
  <si>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</si>
  <si>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</si>
  <si>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</si>
  <si>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</si>
  <si>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</si>
  <si>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</si>
  <si>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</si>
  <si>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</si>
  <si>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</si>
  <si>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</si>
  <si>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</si>
  <si>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</si>
  <si>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</si>
  <si>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</si>
  <si>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</si>
  <si>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</si>
  <si>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</si>
  <si>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</si>
  <si>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</si>
  <si>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</si>
  <si>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</si>
  <si>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</si>
  <si>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</si>
  <si>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</si>
  <si>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</si>
  <si>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</si>
  <si>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</si>
  <si>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</si>
  <si>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</si>
  <si>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</si>
  <si>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</si>
  <si>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</si>
  <si>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</si>
  <si>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</si>
  <si>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</si>
  <si>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</si>
  <si>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</si>
  <si>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</si>
  <si>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</si>
  <si>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</si>
  <si>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</si>
  <si>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</si>
  <si>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</si>
  <si>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</si>
  <si>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</si>
  <si>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</si>
  <si>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</si>
  <si>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</si>
  <si>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</si>
  <si>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</si>
  <si>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</si>
  <si>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</si>
  <si>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</si>
  <si>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</si>
  <si>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</si>
  <si>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</si>
  <si>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</si>
  <si>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</si>
  <si>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</si>
  <si>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</si>
  <si>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</si>
  <si>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</si>
  <si>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</si>
  <si>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</si>
  <si>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</si>
  <si>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</si>
  <si>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</si>
  <si>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</si>
  <si>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</si>
  <si>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</si>
  <si>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</si>
  <si>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</si>
  <si>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</si>
  <si>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</si>
  <si>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</si>
  <si>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</si>
  <si>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</si>
  <si>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</si>
  <si>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</si>
  <si>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</si>
  <si>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</si>
  <si>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</si>
  <si>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</si>
  <si>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</si>
  <si>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</si>
  <si>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</si>
  <si>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</si>
  <si>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</si>
  <si>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</si>
  <si>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</si>
  <si>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</si>
  <si>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</si>
  <si>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</si>
  <si>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</si>
  <si>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</si>
  <si>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</si>
  <si>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</si>
  <si>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</si>
  <si>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</si>
  <si>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</si>
  <si>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</si>
  <si>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</si>
  <si>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</si>
  <si>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</si>
  <si>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</si>
  <si>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</si>
  <si>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</si>
  <si>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</si>
  <si>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</si>
  <si>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</si>
  <si>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</si>
  <si>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</si>
  <si>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</si>
  <si>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</si>
  <si>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</si>
  <si>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</si>
  <si>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</si>
  <si>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</si>
  <si>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</si>
  <si>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</si>
  <si>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</si>
  <si>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</si>
  <si>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</si>
  <si>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</si>
  <si>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</si>
  <si>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</si>
  <si>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</si>
  <si>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</si>
  <si>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</si>
  <si>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</si>
  <si>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</si>
  <si>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</si>
  <si>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</si>
  <si>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</si>
  <si>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</si>
  <si>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</si>
  <si>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</si>
  <si>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</si>
  <si>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</si>
  <si>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</si>
  <si>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</si>
  <si>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</si>
  <si>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</si>
  <si>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</si>
  <si>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</si>
  <si>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</si>
  <si>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</si>
  <si>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</si>
  <si>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</si>
  <si>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</si>
  <si>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</si>
  <si>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</si>
  <si>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</si>
  <si>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</si>
  <si>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</si>
  <si>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</si>
  <si>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</si>
  <si>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</si>
  <si>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</si>
  <si>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</si>
  <si>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</si>
  <si>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</si>
  <si>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</si>
  <si>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</si>
  <si>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</si>
  <si>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</si>
  <si>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</si>
  <si>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</si>
  <si>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</si>
  <si>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</si>
  <si>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</si>
  <si>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</si>
  <si>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</si>
  <si>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</si>
  <si>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</si>
  <si>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</si>
  <si>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</si>
  <si>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</si>
  <si>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</si>
  <si>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</si>
  <si>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</si>
  <si>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</si>
  <si>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</si>
  <si>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</si>
  <si>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</si>
  <si>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</si>
  <si>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</si>
  <si>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</si>
  <si>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</si>
  <si>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</si>
  <si>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</si>
  <si>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</si>
  <si>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</si>
  <si>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</si>
  <si>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</si>
  <si>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</si>
  <si>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</si>
  <si>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</si>
  <si>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</si>
  <si>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</si>
  <si>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</si>
  <si>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</si>
  <si>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</si>
  <si>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</si>
  <si>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</si>
  <si>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</si>
  <si>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</si>
  <si>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</si>
  <si>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</si>
  <si>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</si>
  <si>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</si>
  <si>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</si>
  <si>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</si>
  <si>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</si>
  <si>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</si>
  <si>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</si>
  <si>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</si>
  <si>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</si>
  <si>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</si>
  <si>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</si>
  <si>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</si>
  <si>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</si>
  <si>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</si>
  <si>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</si>
  <si>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</si>
  <si>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</si>
  <si>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</si>
  <si>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</si>
  <si>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</si>
  <si>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</si>
  <si>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</si>
  <si>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</si>
  <si>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</si>
  <si>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</si>
  <si>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</si>
  <si>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</si>
  <si>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</si>
  <si>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</si>
  <si>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</si>
  <si>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</si>
  <si>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</si>
  <si>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</si>
  <si>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</si>
  <si>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</si>
  <si>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</si>
  <si>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</si>
  <si>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</si>
  <si>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</si>
  <si>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</si>
  <si>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</si>
  <si>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</si>
  <si>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</si>
  <si>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</si>
  <si>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</si>
  <si>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</si>
  <si>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</si>
  <si>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</si>
  <si>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</si>
  <si>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</si>
  <si>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</si>
  <si>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</si>
  <si>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</si>
  <si>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</si>
  <si>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</si>
  <si>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</si>
  <si>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</si>
  <si>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</si>
  <si>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</si>
  <si>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</si>
  <si>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</si>
  <si>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</si>
  <si>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</si>
  <si>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</si>
  <si>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</si>
  <si>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</si>
  <si>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</si>
  <si>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</si>
  <si>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</si>
  <si>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</si>
  <si>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</si>
  <si>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</si>
  <si>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</si>
  <si>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</si>
  <si>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</si>
  <si>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</si>
  <si>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</si>
  <si>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</si>
  <si>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</si>
  <si>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</si>
  <si>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</si>
  <si>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</si>
  <si>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</si>
  <si>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</si>
  <si>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</si>
  <si>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</si>
  <si>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</si>
  <si>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</si>
  <si>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</si>
  <si>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</si>
  <si>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</si>
  <si>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</si>
  <si>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</si>
  <si>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</si>
  <si>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</si>
  <si>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</si>
  <si>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</si>
  <si>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</si>
  <si>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</si>
  <si>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</si>
  <si>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</si>
  <si>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</si>
  <si>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</si>
  <si>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</si>
  <si>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</si>
  <si>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</si>
  <si>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</si>
  <si>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</si>
  <si>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</si>
  <si>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</si>
  <si>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</si>
  <si>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</si>
  <si>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</si>
  <si>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</si>
  <si>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</si>
  <si>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</si>
  <si>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</si>
  <si>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</si>
  <si>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</si>
  <si>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</si>
  <si>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</si>
  <si>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</si>
  <si>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</si>
  <si>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</si>
  <si>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</si>
  <si>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</si>
  <si>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</si>
  <si>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</si>
  <si>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</si>
  <si>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</si>
  <si>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</si>
  <si>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</si>
  <si>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</si>
  <si>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</si>
  <si>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</si>
  <si>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</si>
  <si>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</si>
  <si>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</si>
  <si>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</si>
  <si>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</si>
  <si>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</si>
  <si>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</si>
  <si>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</si>
  <si>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</si>
  <si>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</si>
  <si>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</si>
  <si>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</si>
  <si>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</si>
  <si>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</si>
  <si>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</si>
  <si>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</si>
  <si>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</si>
  <si>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</si>
  <si>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</si>
  <si>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</si>
  <si>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</si>
  <si>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</si>
  <si>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</si>
  <si>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</si>
  <si>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</si>
  <si>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</si>
  <si>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</si>
  <si>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</si>
  <si>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</si>
  <si>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</si>
  <si>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</si>
  <si>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</si>
  <si>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</si>
  <si>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</si>
  <si>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</si>
  <si>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</si>
  <si>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</si>
  <si>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</si>
  <si>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</si>
  <si>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</si>
  <si>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</si>
  <si>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</si>
  <si>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</si>
  <si>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</si>
  <si>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</si>
  <si>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</si>
  <si>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</si>
  <si>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</si>
  <si>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</si>
  <si>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</si>
  <si>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</si>
  <si>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</si>
  <si>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</si>
  <si>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</si>
  <si>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</si>
  <si>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</si>
  <si>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</si>
  <si>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</si>
  <si>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</si>
  <si>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</si>
  <si>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</si>
  <si>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</si>
  <si>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</si>
  <si>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</si>
  <si>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</si>
  <si>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</si>
  <si>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</si>
  <si>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</si>
  <si>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</si>
  <si>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</si>
  <si>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</si>
  <si>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</si>
  <si>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</si>
  <si>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</si>
  <si>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</si>
  <si>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</si>
  <si>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</si>
  <si>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</si>
  <si>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</si>
  <si>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</si>
  <si>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</si>
  <si>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</si>
  <si>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</si>
  <si>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</si>
  <si>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</si>
  <si>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</si>
  <si>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</si>
  <si>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</si>
  <si>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</si>
  <si>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</si>
  <si>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</si>
  <si>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</si>
  <si>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</si>
  <si>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</si>
  <si>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</si>
  <si>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</si>
  <si>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</si>
  <si>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</si>
  <si>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</si>
  <si>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</si>
  <si>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</si>
  <si>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</si>
  <si>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</si>
  <si>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</si>
  <si>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</si>
  <si>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</si>
  <si>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</si>
  <si>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</si>
  <si>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</si>
  <si>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</si>
  <si>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</si>
  <si>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</si>
  <si>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</si>
  <si>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</si>
  <si>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</si>
  <si>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</si>
  <si>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</si>
  <si>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</si>
  <si>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</si>
  <si>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</si>
  <si>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</si>
  <si>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</si>
  <si>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</si>
  <si>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</si>
  <si>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</si>
  <si>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</si>
  <si>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</si>
  <si>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</si>
  <si>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</si>
  <si>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</si>
  <si>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</si>
  <si>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</si>
  <si>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</si>
  <si>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</si>
  <si>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</si>
  <si>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</si>
  <si>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</si>
  <si>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</si>
  <si>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</si>
  <si>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</si>
  <si>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</si>
  <si>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</si>
  <si>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</si>
  <si>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</si>
  <si>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</si>
  <si>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</si>
  <si>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</si>
  <si>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</si>
  <si>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</si>
  <si>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</si>
  <si>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</si>
  <si>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</si>
  <si>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</si>
  <si>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</si>
  <si>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</si>
  <si>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</si>
  <si>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</si>
  <si>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</si>
  <si>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</si>
  <si>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</si>
  <si>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</si>
  <si>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</si>
  <si>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</si>
  <si>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</si>
  <si>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</si>
  <si>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</si>
  <si>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</si>
  <si>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</si>
  <si>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</si>
  <si>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</si>
  <si>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</si>
  <si>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</si>
  <si>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</si>
  <si>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</si>
  <si>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</si>
  <si>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</si>
  <si>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</si>
  <si>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</si>
  <si>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</si>
  <si>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</si>
  <si>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</si>
  <si>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</si>
  <si>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</si>
  <si>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</si>
  <si>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</si>
  <si>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</si>
  <si>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</si>
  <si>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</si>
  <si>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</si>
  <si>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</si>
  <si>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</si>
  <si>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</si>
  <si>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</si>
  <si>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</si>
  <si>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</si>
  <si>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</si>
  <si>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</si>
  <si>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</si>
  <si>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</si>
  <si>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</si>
  <si>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</si>
  <si>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</si>
  <si>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</si>
  <si>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</si>
  <si>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</si>
  <si>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</si>
  <si>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</si>
  <si>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</si>
  <si>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</si>
  <si>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</si>
  <si>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</si>
  <si>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</si>
  <si>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</si>
  <si>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</si>
  <si>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</si>
  <si>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</si>
  <si>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</si>
  <si>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</si>
  <si>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</si>
  <si>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</si>
  <si>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</si>
  <si>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</si>
  <si>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</si>
  <si>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</si>
  <si>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</si>
  <si>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</si>
  <si>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</si>
  <si>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</si>
  <si>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</si>
  <si>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</si>
  <si>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</si>
  <si>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</si>
  <si>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</si>
  <si>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</si>
  <si>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</si>
  <si>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</si>
  <si>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</si>
  <si>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</si>
  <si>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</si>
  <si>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</si>
  <si>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</si>
  <si>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</si>
  <si>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</si>
  <si>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</si>
  <si>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</si>
  <si>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</si>
  <si>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</si>
  <si>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</si>
  <si>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</si>
  <si>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</si>
  <si>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</si>
  <si>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</si>
  <si>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</si>
  <si>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</si>
  <si>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</si>
  <si>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</si>
  <si>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</si>
  <si>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</si>
  <si>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</si>
  <si>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</si>
  <si>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</si>
  <si>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</si>
  <si>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</si>
  <si>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</si>
  <si>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</si>
  <si>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</si>
  <si>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</si>
  <si>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</si>
  <si>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</si>
  <si>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</si>
  <si>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</si>
  <si>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</si>
  <si>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</si>
  <si>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</si>
  <si>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</si>
  <si>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</si>
  <si>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</si>
  <si>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</si>
  <si>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</si>
  <si>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</si>
  <si>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</si>
  <si>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</si>
  <si>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</si>
  <si>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</si>
  <si>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</si>
  <si>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</si>
  <si>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</si>
  <si>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</si>
  <si>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</si>
  <si>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</si>
  <si>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</si>
  <si>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</si>
  <si>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</si>
  <si>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</si>
  <si>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</si>
  <si>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</si>
  <si>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</si>
  <si>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</si>
  <si>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</si>
  <si>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</si>
  <si>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</si>
  <si>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</si>
  <si>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</si>
  <si>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</si>
  <si>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</si>
  <si>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</si>
  <si>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</si>
  <si>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</si>
  <si>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</si>
  <si>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</si>
  <si>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</si>
  <si>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</si>
  <si>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</si>
  <si>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</si>
  <si>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</si>
  <si>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</si>
  <si>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</si>
  <si>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</si>
  <si>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</si>
  <si>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</si>
  <si>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</si>
  <si>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</si>
  <si>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</si>
  <si>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</si>
  <si>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</si>
  <si>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</si>
  <si>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</si>
  <si>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</si>
  <si>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</si>
  <si>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</si>
  <si>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</si>
  <si>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</si>
  <si>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</si>
  <si>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</si>
  <si>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</si>
  <si>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</si>
  <si>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</si>
  <si>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</si>
  <si>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</si>
  <si>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</si>
  <si>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</si>
  <si>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</si>
  <si>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</si>
  <si>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</si>
  <si>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</si>
  <si>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</si>
  <si>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</si>
  <si>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</si>
  <si>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</si>
  <si>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</si>
  <si>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</si>
  <si>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</si>
  <si>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</si>
  <si>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</si>
  <si>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</si>
  <si>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</si>
  <si>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</si>
  <si>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</si>
  <si>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</si>
  <si>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</si>
  <si>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</si>
  <si>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</si>
  <si>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</si>
  <si>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</si>
  <si>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</si>
  <si>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</si>
  <si>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</si>
  <si>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</si>
  <si>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</si>
  <si>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</si>
  <si>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</si>
  <si>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</si>
  <si>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</si>
  <si>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</si>
  <si>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</si>
  <si>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</si>
  <si>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</si>
  <si>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</si>
  <si>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</si>
  <si>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</si>
  <si>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</si>
  <si>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</si>
  <si>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</si>
  <si>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</si>
  <si>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</si>
  <si>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</si>
  <si>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</si>
  <si>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</si>
  <si>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</si>
  <si>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</si>
  <si>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</si>
  <si>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</si>
  <si>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</si>
  <si>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</si>
  <si>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</si>
  <si>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</si>
  <si>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</si>
  <si>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</si>
  <si>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</si>
  <si>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</si>
  <si>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</si>
  <si>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</si>
  <si>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</si>
  <si>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</si>
  <si>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</si>
  <si>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</si>
  <si>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</si>
  <si>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</si>
  <si>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</si>
  <si>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</si>
  <si>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</si>
  <si>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</si>
  <si>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</si>
  <si>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</si>
  <si>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</si>
  <si>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</si>
  <si>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</si>
  <si>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</si>
  <si>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</si>
  <si>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</si>
  <si>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</si>
  <si>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</si>
  <si>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</si>
  <si>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</si>
  <si>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</si>
  <si>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</si>
  <si>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</si>
  <si>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</si>
  <si>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</si>
  <si>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</si>
  <si>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</si>
  <si>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</si>
  <si>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</si>
  <si>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</si>
  <si>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</si>
  <si>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</si>
  <si>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</si>
  <si>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</si>
  <si>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</si>
  <si>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</si>
  <si>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</si>
  <si>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</si>
  <si>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</si>
  <si>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</si>
  <si>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</si>
  <si>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</si>
  <si>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</si>
  <si>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</si>
  <si>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</si>
  <si>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</si>
  <si>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</si>
  <si>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</si>
  <si>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</si>
  <si>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</si>
  <si>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</si>
  <si>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</si>
  <si>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</si>
  <si>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</si>
  <si>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</si>
  <si>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</si>
  <si>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</si>
  <si>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</si>
  <si>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</si>
  <si>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</si>
  <si>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</si>
  <si>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</si>
  <si>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</si>
  <si>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</si>
  <si>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</si>
  <si>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</si>
  <si>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</si>
  <si>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</si>
  <si>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</si>
  <si>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</si>
  <si>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</si>
  <si>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</si>
  <si>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</si>
  <si>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</si>
  <si>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</si>
  <si>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</si>
  <si>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</si>
  <si>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</si>
  <si>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</si>
  <si>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</si>
  <si>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</si>
  <si>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</si>
  <si>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</si>
  <si>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</si>
  <si>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</si>
  <si>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</si>
  <si>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</si>
  <si>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</si>
  <si>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</si>
  <si>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</si>
  <si>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</si>
  <si>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</si>
  <si>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</si>
  <si>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</si>
  <si>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</si>
  <si>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</si>
  <si>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</si>
  <si>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</si>
  <si>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</si>
  <si>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</si>
  <si>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</si>
  <si>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</si>
  <si>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</si>
  <si>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</si>
  <si>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</si>
  <si>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</si>
  <si>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</si>
  <si>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</si>
  <si>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</si>
  <si>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</si>
  <si>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</si>
  <si>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</si>
  <si>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</si>
  <si>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</si>
  <si>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</si>
  <si>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</si>
  <si>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</si>
  <si>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</si>
  <si>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</si>
  <si>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</si>
  <si>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</si>
  <si>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</si>
  <si>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</si>
  <si>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</si>
  <si>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</si>
  <si>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</si>
  <si>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</si>
  <si>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</si>
  <si>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</si>
  <si>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</si>
  <si>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</si>
  <si>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</si>
  <si>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</si>
  <si>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</si>
  <si>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</si>
  <si>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</si>
  <si>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</si>
  <si>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</si>
  <si>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</si>
  <si>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</si>
  <si>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</si>
  <si>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</si>
  <si>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</si>
  <si>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</si>
  <si>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</si>
  <si>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</si>
  <si>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</si>
  <si>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</si>
  <si>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</si>
  <si>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</si>
  <si>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</si>
  <si>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</si>
  <si>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</si>
  <si>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</si>
  <si>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</si>
  <si>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</si>
  <si>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</si>
  <si>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</si>
  <si>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</si>
  <si>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</si>
  <si>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</si>
  <si>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</si>
  <si>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</si>
  <si>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</si>
  <si>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</si>
  <si>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</si>
  <si>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</si>
  <si>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</si>
  <si>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</si>
  <si>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</si>
  <si>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</si>
  <si>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</si>
  <si>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</si>
  <si>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</si>
  <si>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</si>
  <si>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</si>
  <si>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</si>
  <si>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</si>
  <si>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</si>
  <si>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</si>
  <si>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</si>
  <si>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</si>
  <si>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</si>
  <si>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</si>
  <si>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</si>
  <si>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</si>
  <si>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</si>
  <si>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</si>
  <si>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</si>
  <si>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</si>
  <si>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</si>
  <si>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</si>
  <si>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</si>
  <si>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</si>
  <si>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</si>
  <si>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</si>
  <si>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</si>
  <si>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</si>
  <si>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</si>
  <si>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</si>
  <si>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</si>
  <si>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</si>
  <si>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</si>
  <si>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</si>
  <si>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</si>
  <si>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</si>
  <si>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</si>
  <si>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</si>
  <si>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</si>
  <si>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</si>
  <si>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</si>
  <si>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</si>
  <si>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</si>
  <si>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</si>
  <si>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</si>
  <si>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</si>
  <si>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</si>
  <si>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</si>
  <si>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</si>
  <si>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</si>
  <si>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</si>
  <si>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</si>
  <si>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</si>
  <si>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</si>
  <si>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</si>
  <si>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</si>
  <si>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</si>
  <si>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</si>
  <si>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</si>
  <si>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</si>
  <si>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</si>
  <si>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</si>
  <si>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</si>
  <si>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</si>
  <si>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</si>
  <si>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</si>
  <si>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</si>
  <si>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</si>
  <si>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</si>
  <si>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</si>
  <si>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</si>
  <si>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</si>
  <si>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</si>
  <si>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</si>
  <si>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</si>
  <si>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</si>
  <si>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</si>
  <si>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</si>
  <si>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</si>
  <si>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</si>
  <si>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</si>
  <si>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</si>
  <si>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</si>
  <si>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</si>
  <si>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</si>
  <si>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</si>
  <si>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</si>
  <si>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</si>
  <si>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</si>
  <si>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</si>
  <si>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</si>
  <si>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</si>
  <si>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</si>
  <si>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</si>
  <si>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</si>
  <si>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</si>
  <si>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</si>
  <si>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</si>
  <si>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</si>
  <si>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</si>
  <si>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</si>
  <si>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</si>
  <si>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</si>
  <si>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</si>
  <si>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</si>
  <si>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</si>
  <si>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</si>
  <si>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</si>
  <si>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</si>
  <si>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</si>
  <si>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</si>
  <si>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</si>
  <si>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</si>
  <si>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</si>
  <si>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</si>
  <si>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</si>
  <si>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</si>
  <si>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</si>
  <si>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</si>
  <si>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</si>
  <si>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</si>
  <si>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</si>
  <si>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</si>
  <si>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</si>
  <si>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</si>
  <si>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</si>
  <si>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</si>
  <si>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</si>
  <si>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</si>
  <si>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</si>
  <si>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</si>
  <si>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</si>
  <si>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</si>
  <si>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</si>
  <si>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</si>
  <si>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</si>
  <si>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</si>
  <si>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</si>
  <si>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</si>
  <si>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</si>
  <si>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</si>
  <si>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</si>
  <si>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</si>
  <si>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</si>
  <si>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</si>
  <si>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</si>
  <si>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</si>
  <si>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</si>
  <si>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</si>
  <si>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</si>
  <si>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</si>
  <si>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</si>
  <si>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</si>
  <si>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</si>
  <si>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</si>
  <si>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</si>
  <si>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</si>
  <si>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</si>
  <si>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</si>
  <si>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</si>
  <si>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</si>
  <si>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</si>
  <si>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</si>
  <si>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</si>
  <si>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</si>
  <si>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</si>
  <si>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</si>
  <si>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</si>
  <si>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</si>
  <si>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</si>
  <si>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</si>
  <si>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</si>
  <si>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</si>
  <si>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</si>
  <si>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</si>
  <si>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</si>
  <si>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</si>
  <si>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</si>
  <si>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</si>
  <si>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</si>
  <si>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</si>
  <si>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</si>
  <si>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</si>
  <si>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</si>
  <si>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</si>
  <si>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</si>
  <si>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</si>
  <si>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</si>
  <si>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</si>
  <si>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</si>
  <si>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</si>
  <si>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</si>
  <si>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</si>
  <si>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</si>
  <si>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</si>
  <si>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</si>
  <si>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</si>
  <si>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</si>
  <si>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</si>
  <si>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</si>
  <si>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</si>
  <si>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</si>
  <si>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</si>
  <si>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</si>
  <si>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</si>
  <si>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</si>
  <si>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</si>
  <si>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</si>
  <si>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</si>
  <si>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</si>
  <si>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</si>
  <si>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</si>
  <si>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</si>
  <si>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</si>
  <si>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</si>
  <si>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</si>
  <si>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</si>
  <si>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</si>
  <si>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</si>
  <si>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</si>
  <si>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</si>
  <si>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</si>
  <si>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</si>
  <si>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</si>
  <si>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</si>
  <si>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</si>
  <si>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</si>
  <si>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</si>
  <si>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</si>
  <si>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</si>
  <si>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</si>
  <si>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</si>
  <si>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</si>
  <si>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</si>
  <si>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</si>
  <si>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</si>
  <si>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</si>
  <si>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</si>
  <si>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</si>
  <si>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</si>
  <si>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</si>
  <si>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</si>
  <si>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</si>
  <si>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</si>
  <si>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</si>
  <si>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</si>
  <si>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</si>
  <si>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</si>
  <si>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</si>
  <si>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</si>
  <si>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</si>
  <si>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</si>
  <si>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</si>
  <si>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</si>
  <si>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</si>
  <si>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</si>
  <si>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</si>
  <si>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</si>
  <si>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</si>
  <si>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</si>
  <si>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</si>
  <si>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</si>
  <si>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</si>
  <si>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</si>
  <si>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</si>
  <si>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</si>
  <si>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</si>
  <si>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</si>
  <si>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</si>
  <si>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</si>
  <si>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</si>
  <si>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</si>
  <si>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</si>
  <si>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</si>
  <si>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</si>
  <si>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</si>
  <si>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</si>
  <si>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</si>
  <si>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</si>
  <si>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</si>
  <si>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</si>
  <si>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</si>
  <si>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</si>
  <si>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</si>
  <si>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</si>
  <si>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</si>
  <si>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</si>
  <si>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</si>
  <si>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</si>
  <si>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</si>
  <si>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</si>
  <si>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</si>
  <si>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</si>
  <si>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</si>
  <si>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</si>
  <si>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</si>
  <si>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</si>
  <si>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</si>
  <si>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</si>
  <si>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</si>
  <si>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</si>
  <si>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</si>
  <si>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</si>
  <si>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</si>
  <si>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</si>
  <si>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</si>
  <si>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</si>
  <si>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</si>
  <si>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</si>
  <si>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</si>
  <si>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</si>
  <si>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</si>
  <si>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</si>
  <si>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</si>
  <si>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</si>
  <si>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</si>
  <si>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</si>
  <si>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</si>
  <si>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</si>
  <si>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</si>
  <si>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</si>
  <si>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</si>
  <si>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</si>
  <si>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</si>
  <si>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</si>
  <si>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</si>
  <si>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</si>
  <si>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</si>
  <si>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</si>
  <si>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</si>
  <si>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</si>
  <si>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</si>
  <si>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</si>
  <si>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</si>
  <si>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</si>
  <si>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</si>
  <si>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</si>
  <si>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</si>
  <si>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</si>
  <si>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</si>
  <si>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</si>
  <si>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</si>
  <si>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</si>
  <si>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</si>
  <si>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</si>
  <si>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</si>
  <si>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</si>
  <si>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</si>
  <si>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</si>
  <si>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</si>
  <si>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</si>
  <si>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</si>
  <si>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</si>
  <si>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</si>
  <si>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</si>
  <si>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</si>
  <si>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</si>
  <si>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</si>
  <si>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</si>
  <si>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</si>
  <si>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</si>
  <si>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</si>
  <si>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</si>
  <si>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</si>
  <si>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</si>
  <si>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</si>
  <si>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</si>
  <si>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</si>
  <si>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</si>
  <si>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</si>
  <si>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</si>
  <si>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</si>
  <si>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</si>
  <si>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</si>
  <si>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</si>
  <si>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</si>
  <si>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</si>
  <si>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</si>
  <si>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</si>
  <si>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</si>
  <si>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</si>
  <si>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</si>
  <si>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</si>
  <si>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</si>
  <si>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</si>
  <si>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</si>
  <si>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</si>
  <si>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</si>
  <si>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</si>
  <si>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</si>
  <si>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</si>
  <si>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</si>
  <si>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</si>
  <si>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</si>
  <si>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</si>
  <si>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</si>
  <si>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</si>
  <si>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</si>
  <si>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</si>
  <si>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</si>
  <si>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</si>
  <si>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</si>
  <si>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</si>
  <si>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</si>
  <si>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</si>
  <si>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</si>
  <si>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</si>
  <si>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</si>
  <si>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</si>
  <si>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</si>
  <si>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</si>
  <si>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</si>
  <si>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</si>
  <si>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</si>
  <si>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</si>
  <si>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</si>
  <si>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</si>
  <si>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</si>
  <si>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</si>
  <si>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</si>
  <si>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</si>
  <si>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</si>
  <si>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</si>
  <si>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</si>
  <si>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</si>
  <si>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</si>
  <si>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</si>
  <si>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</si>
  <si>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</si>
  <si>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</si>
  <si>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</si>
  <si>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</si>
  <si>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</si>
  <si>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</si>
  <si>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</si>
  <si>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</si>
  <si>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</si>
  <si>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</si>
  <si>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</si>
  <si>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</si>
  <si>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</si>
  <si>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</si>
  <si>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</si>
  <si>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</si>
  <si>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</si>
  <si>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</si>
  <si>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</si>
  <si>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</si>
  <si>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</si>
  <si>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</si>
  <si>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</si>
  <si>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</si>
  <si>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</si>
  <si>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</si>
  <si>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</si>
  <si>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</si>
  <si>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</si>
  <si>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</si>
  <si>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</si>
  <si>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</si>
  <si>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</si>
  <si>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</si>
  <si>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</si>
  <si>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</si>
  <si>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</si>
  <si>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</si>
  <si>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</si>
  <si>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</si>
  <si>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</si>
  <si>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</si>
  <si>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</si>
  <si>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</si>
  <si>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</si>
  <si>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</si>
  <si>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</si>
  <si>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</si>
  <si>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</si>
  <si>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</si>
  <si>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</si>
  <si>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</si>
  <si>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</si>
  <si>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</si>
  <si>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</si>
  <si>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</si>
  <si>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</si>
  <si>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</si>
  <si>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</si>
  <si>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</si>
  <si>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</si>
  <si>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</si>
  <si>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</si>
  <si>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</si>
  <si>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</si>
  <si>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</si>
  <si>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</si>
  <si>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</si>
  <si>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</si>
  <si>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</si>
  <si>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</si>
  <si>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</si>
  <si>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</si>
  <si>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</si>
  <si>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</si>
  <si>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</si>
  <si>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</si>
  <si>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</si>
  <si>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</si>
  <si>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</si>
  <si>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</si>
  <si>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</si>
  <si>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</si>
  <si>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</si>
  <si>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</si>
  <si>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</si>
  <si>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</si>
  <si>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</si>
  <si>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</si>
  <si>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</si>
  <si>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</si>
  <si>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</si>
  <si>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</si>
  <si>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</si>
  <si>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</si>
  <si>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</si>
  <si>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</si>
  <si>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</si>
  <si>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</si>
  <si>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</si>
  <si>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</si>
  <si>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</si>
  <si>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</si>
  <si>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</si>
  <si>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</si>
  <si>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</si>
  <si>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</si>
  <si>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</si>
  <si>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</si>
  <si>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</si>
  <si>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</si>
  <si>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</si>
  <si>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</si>
  <si>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</si>
  <si>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</si>
  <si>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</si>
  <si>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</si>
  <si>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</si>
  <si>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</si>
  <si>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</si>
  <si>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</si>
  <si>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</si>
  <si>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</si>
  <si>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</si>
  <si>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</si>
  <si>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</si>
  <si>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</si>
  <si>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</si>
  <si>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</si>
  <si>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</si>
  <si>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</si>
  <si>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</si>
  <si>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</si>
  <si>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</si>
  <si>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</si>
  <si>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</si>
  <si>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</si>
  <si>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</si>
  <si>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</si>
  <si>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</si>
  <si>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</si>
  <si>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</si>
  <si>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</si>
  <si>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</si>
  <si>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</si>
  <si>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</si>
  <si>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</si>
  <si>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</si>
  <si>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</si>
  <si>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</si>
  <si>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</si>
  <si>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</si>
  <si>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</si>
  <si>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</si>
  <si>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</si>
  <si>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</si>
  <si>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</si>
  <si>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</si>
  <si>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</si>
  <si>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</si>
  <si>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</si>
  <si>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</si>
  <si>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</si>
  <si>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</si>
  <si>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</si>
  <si>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</si>
  <si>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</si>
  <si>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</si>
  <si>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</si>
  <si>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</si>
  <si>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</si>
  <si>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</si>
  <si>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</si>
  <si>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</si>
  <si>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</si>
  <si>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</si>
  <si>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</si>
  <si>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</si>
  <si>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</si>
  <si>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</si>
  <si>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</si>
  <si>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</si>
  <si>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</si>
  <si>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</si>
  <si>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</si>
  <si>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</si>
  <si>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</si>
  <si>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</si>
  <si>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</si>
  <si>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</si>
  <si>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</si>
  <si>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</si>
  <si>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</si>
  <si>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</si>
  <si>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</si>
  <si>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</si>
  <si>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</si>
  <si>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</si>
  <si>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</si>
  <si>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</si>
  <si>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</si>
  <si>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</si>
  <si>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</si>
  <si>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</si>
  <si>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</si>
  <si>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</si>
  <si>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</si>
  <si>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</si>
  <si>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</si>
  <si>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</si>
  <si>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</si>
  <si>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</si>
  <si>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</si>
  <si>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</si>
  <si>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</si>
  <si>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</si>
  <si>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</si>
  <si>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</si>
  <si>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</si>
  <si>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</si>
  <si>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</si>
  <si>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</si>
  <si>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</si>
  <si>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</si>
  <si>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</si>
  <si>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</si>
  <si>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</si>
  <si>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</si>
  <si>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</si>
  <si>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</si>
  <si>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</si>
  <si>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</si>
  <si>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</si>
  <si>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</si>
  <si>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</si>
  <si>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</si>
  <si>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</si>
  <si>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</si>
  <si>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</si>
  <si>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</si>
  <si>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</si>
  <si>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</si>
  <si>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</si>
  <si>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</si>
  <si>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</si>
  <si>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</si>
  <si>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</si>
  <si>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</si>
  <si>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</si>
  <si>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</si>
  <si>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</si>
  <si>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</si>
  <si>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</si>
  <si>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</si>
  <si>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</si>
  <si>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</si>
  <si>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</si>
  <si>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</si>
  <si>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</si>
  <si>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</si>
  <si>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</si>
  <si>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</si>
  <si>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</si>
  <si>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</si>
  <si>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</si>
  <si>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</si>
  <si>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</si>
  <si>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</si>
  <si>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</si>
  <si>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</si>
  <si>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</si>
  <si>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</si>
  <si>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</si>
  <si>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</si>
  <si>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</si>
  <si>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</si>
  <si>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</si>
  <si>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</si>
  <si>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</si>
  <si>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</si>
  <si>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</si>
  <si>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</si>
  <si>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</si>
  <si>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</si>
  <si>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</si>
  <si>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</si>
  <si>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</si>
  <si>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</si>
  <si>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</si>
  <si>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</si>
  <si>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</si>
  <si>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</si>
  <si>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</si>
  <si>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</si>
  <si>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</si>
  <si>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</si>
  <si>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</si>
  <si>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</si>
  <si>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</si>
  <si>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</si>
  <si>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</si>
  <si>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</si>
  <si>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</si>
  <si>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</si>
  <si>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</si>
  <si>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</si>
  <si>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</si>
  <si>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</si>
  <si>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</si>
  <si>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</si>
  <si>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</si>
  <si>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</si>
  <si>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</si>
  <si>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</si>
  <si>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</si>
  <si>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</si>
  <si>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</si>
  <si>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</si>
  <si>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</si>
  <si>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</si>
  <si>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</si>
  <si>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</si>
  <si>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</si>
  <si>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</si>
  <si>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</si>
  <si>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</si>
  <si>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</si>
  <si>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</si>
  <si>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</si>
  <si>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</si>
  <si>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</si>
  <si>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</si>
  <si>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</si>
  <si>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</si>
  <si>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</si>
  <si>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</si>
  <si>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</si>
  <si>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</si>
  <si>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</si>
  <si>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</si>
  <si>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</si>
  <si>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</si>
  <si>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</si>
  <si>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</si>
  <si>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</si>
  <si>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</si>
  <si>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</si>
  <si>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</si>
  <si>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</si>
  <si>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</si>
  <si>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</si>
  <si>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</si>
  <si>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</si>
  <si>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</si>
  <si>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</si>
  <si>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</si>
  <si>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</si>
  <si>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</si>
  <si>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</si>
  <si>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</si>
  <si>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</si>
  <si>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</si>
  <si>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</si>
  <si>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</si>
  <si>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</si>
  <si>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</si>
  <si>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</si>
  <si>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</si>
  <si>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</si>
  <si>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</si>
  <si>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</si>
  <si>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</si>
  <si>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</si>
  <si>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</si>
  <si>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</si>
  <si>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</si>
  <si>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</si>
  <si>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</si>
  <si>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</si>
  <si>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</si>
  <si>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</si>
  <si>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</si>
  <si>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</si>
  <si>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</si>
  <si>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</si>
  <si>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</si>
  <si>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</si>
  <si>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</si>
  <si>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</si>
  <si>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</si>
  <si>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</si>
  <si>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</si>
  <si>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</si>
  <si>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</si>
  <si>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</si>
  <si>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</si>
  <si>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</si>
  <si>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</si>
  <si>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</si>
  <si>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</si>
  <si>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</si>
  <si>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</si>
  <si>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</si>
  <si>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</si>
  <si>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</si>
  <si>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</si>
  <si>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</si>
  <si>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</si>
  <si>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</si>
  <si>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</si>
  <si>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</si>
  <si>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</si>
  <si>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</si>
  <si>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</si>
  <si>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</si>
  <si>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</si>
  <si>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</si>
  <si>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</si>
  <si>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</si>
  <si>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</si>
  <si>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</si>
  <si>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</si>
  <si>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</si>
  <si>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</si>
  <si>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</si>
  <si>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</si>
  <si>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</si>
  <si>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</si>
  <si>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</si>
  <si>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</si>
  <si>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</si>
  <si>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</si>
  <si>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</si>
  <si>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</si>
  <si>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</si>
  <si>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</si>
  <si>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</si>
  <si>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</si>
  <si>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</si>
  <si>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</si>
  <si>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</si>
  <si>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</si>
  <si>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</si>
  <si>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</si>
  <si>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</si>
  <si>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</si>
  <si>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</si>
  <si>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</si>
  <si>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</si>
  <si>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</si>
  <si>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</si>
  <si>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</si>
  <si>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</si>
  <si>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</si>
  <si>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</si>
  <si>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</si>
  <si>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</si>
  <si>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</si>
  <si>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</si>
  <si>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</si>
  <si>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</si>
  <si>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</si>
  <si>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</si>
  <si>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</si>
  <si>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</si>
  <si>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</si>
  <si>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</si>
  <si>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</si>
  <si>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</si>
  <si>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</si>
  <si>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</si>
  <si>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</si>
  <si>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</si>
  <si>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</si>
  <si>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</si>
  <si>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</si>
  <si>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</si>
  <si>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</si>
  <si>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</si>
  <si>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</si>
  <si>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</si>
  <si>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</si>
  <si>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</si>
  <si>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</si>
  <si>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</si>
  <si>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</si>
  <si>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</si>
  <si>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</si>
  <si>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</si>
  <si>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</si>
  <si>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</si>
  <si>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</si>
  <si>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</si>
  <si>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</si>
  <si>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</si>
  <si>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</si>
  <si>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</si>
  <si>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</si>
  <si>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</si>
  <si>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</si>
  <si>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</si>
  <si>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</si>
  <si>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</si>
  <si>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</si>
  <si>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</si>
  <si>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</si>
  <si>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</si>
  <si>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</si>
  <si>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</si>
  <si>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</si>
  <si>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</si>
  <si>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</si>
  <si>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</si>
  <si>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</si>
  <si>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</si>
  <si>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</si>
  <si>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</si>
  <si>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</si>
  <si>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</si>
  <si>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</si>
  <si>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</si>
  <si>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</si>
  <si>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</si>
  <si>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</si>
  <si>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</si>
  <si>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</si>
  <si>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</si>
  <si>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</si>
  <si>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</si>
  <si>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</si>
  <si>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</si>
  <si>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</si>
  <si>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</si>
  <si>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</si>
  <si>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</si>
  <si>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</si>
  <si>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</si>
  <si>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</si>
  <si>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</si>
  <si>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</si>
  <si>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</si>
  <si>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</si>
  <si>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</si>
  <si>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</si>
  <si>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</si>
  <si>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</si>
  <si>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</si>
  <si>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</si>
  <si>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</si>
  <si>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</si>
  <si>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</si>
  <si>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</si>
  <si>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</si>
  <si>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</si>
  <si>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</si>
  <si>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</si>
  <si>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</si>
  <si>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</si>
  <si>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</si>
  <si>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</si>
  <si>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</si>
  <si>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</si>
  <si>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</si>
  <si>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</si>
  <si>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</si>
  <si>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</si>
  <si>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</si>
  <si>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</si>
  <si>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</si>
  <si>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</si>
  <si>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</si>
  <si>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</si>
  <si>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</si>
  <si>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</si>
  <si>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</si>
  <si>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</si>
  <si>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</si>
  <si>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</si>
  <si>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</si>
  <si>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</si>
  <si>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</si>
  <si>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</si>
  <si>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</si>
  <si>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</si>
  <si>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</si>
  <si>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</si>
  <si>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</si>
  <si>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</si>
  <si>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</si>
  <si>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</si>
  <si>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</si>
  <si>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</si>
  <si>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</si>
  <si>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</si>
  <si>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</si>
  <si>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</si>
  <si>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</si>
  <si>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</si>
  <si>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</si>
  <si>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</si>
  <si>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</si>
  <si>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</si>
  <si>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</si>
  <si>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</si>
  <si>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</si>
  <si>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</si>
  <si>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</si>
  <si>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</si>
  <si>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</si>
  <si>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</si>
  <si>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</si>
  <si>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</si>
  <si>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</si>
  <si>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</si>
  <si>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</si>
  <si>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</si>
  <si>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</si>
  <si>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</si>
  <si>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</si>
  <si>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</si>
  <si>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</si>
  <si>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</si>
  <si>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</si>
  <si>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</si>
  <si>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</si>
  <si>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</si>
  <si>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</si>
  <si>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</si>
  <si>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</si>
  <si>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</si>
  <si>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</si>
  <si>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</si>
  <si>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</si>
  <si>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</si>
  <si>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</si>
  <si>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</si>
  <si>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</si>
  <si>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</si>
  <si>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</si>
  <si>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</si>
  <si>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</si>
  <si>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</si>
  <si>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</si>
  <si>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</si>
  <si>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</si>
  <si>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</si>
  <si>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</si>
  <si>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</si>
  <si>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</si>
  <si>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</si>
  <si>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</si>
  <si>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</si>
  <si>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</si>
  <si>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</si>
  <si>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</si>
  <si>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</si>
  <si>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</si>
  <si>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</si>
  <si>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</si>
  <si>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</si>
  <si>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</si>
  <si>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</si>
  <si>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</si>
  <si>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</si>
  <si>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</si>
  <si>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</si>
  <si>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</si>
  <si>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</si>
  <si>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</si>
  <si>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</si>
  <si>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</si>
  <si>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</si>
  <si>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</si>
  <si>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</si>
  <si>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</si>
  <si>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</si>
  <si>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</si>
  <si>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</si>
  <si>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</si>
  <si>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</si>
  <si>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</si>
  <si>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</si>
  <si>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</si>
  <si>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</si>
  <si>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</si>
  <si>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</si>
  <si>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</si>
  <si>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</si>
  <si>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</si>
  <si>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</si>
  <si>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</si>
  <si>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</si>
  <si>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</si>
  <si>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</si>
  <si>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</si>
  <si>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</si>
  <si>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</si>
  <si>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</si>
  <si>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</si>
  <si>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</si>
  <si>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</si>
  <si>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</si>
  <si>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</si>
  <si>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</si>
  <si>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</si>
  <si>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</si>
  <si>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</si>
  <si>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</si>
  <si>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</si>
  <si>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</si>
  <si>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</si>
  <si>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</si>
  <si>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</si>
  <si>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</si>
  <si>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</si>
  <si>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</si>
  <si>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</si>
  <si>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</si>
  <si>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</si>
  <si>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</si>
  <si>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</si>
  <si>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</si>
  <si>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</si>
  <si>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</si>
  <si>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</si>
  <si>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</si>
  <si>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</si>
  <si>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</si>
  <si>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</si>
  <si>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</si>
  <si>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</si>
  <si>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</si>
  <si>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</si>
  <si>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</si>
  <si>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</si>
  <si>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</si>
  <si>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</si>
  <si>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</si>
  <si>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</si>
  <si>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</si>
  <si>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</si>
  <si>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</si>
  <si>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</si>
  <si>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</si>
  <si>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</si>
  <si>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</si>
  <si>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</si>
  <si>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</si>
  <si>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</si>
  <si>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</si>
  <si>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</si>
  <si>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</si>
  <si>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</si>
  <si>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</si>
  <si>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</si>
  <si>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</si>
  <si>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</si>
  <si>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</si>
  <si>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</si>
  <si>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</si>
  <si>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</si>
  <si>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</si>
  <si>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</si>
  <si>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</si>
  <si>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</si>
  <si>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</si>
  <si>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</si>
  <si>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</si>
  <si>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</si>
  <si>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</si>
  <si>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</si>
  <si>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</si>
  <si>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</si>
  <si>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</si>
  <si>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</si>
  <si>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</si>
  <si>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</si>
  <si>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</si>
  <si>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</si>
  <si>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</si>
  <si>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</si>
  <si>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</si>
  <si>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</si>
  <si>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</si>
  <si>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</si>
  <si>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</si>
  <si>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</si>
  <si>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</si>
  <si>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</si>
  <si>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</si>
  <si>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</si>
  <si>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</si>
  <si>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</si>
  <si>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</si>
  <si>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</si>
  <si>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</si>
  <si>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</si>
  <si>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</si>
  <si>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</si>
  <si>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</si>
  <si>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</si>
  <si>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</si>
  <si>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</si>
  <si>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</si>
  <si>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</si>
  <si>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</si>
  <si>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</si>
  <si>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</si>
  <si>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</si>
  <si>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</si>
  <si>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</si>
  <si>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</si>
  <si>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</si>
  <si>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</si>
  <si>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</si>
  <si>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</si>
  <si>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</si>
  <si>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</si>
  <si>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</si>
  <si>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</si>
  <si>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</si>
  <si>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</si>
  <si>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</si>
  <si>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</si>
  <si>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</si>
  <si>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</si>
  <si>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</si>
  <si>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</si>
  <si>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</si>
  <si>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</si>
  <si>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</si>
  <si>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</si>
  <si>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</si>
  <si>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</si>
  <si>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</si>
  <si>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</si>
  <si>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</si>
  <si>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</si>
  <si>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</si>
  <si>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</si>
  <si>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</si>
  <si>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</si>
  <si>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</si>
  <si>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</si>
  <si>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</si>
  <si>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</si>
  <si>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</si>
  <si>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</si>
  <si>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</si>
  <si>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</si>
  <si>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</si>
  <si>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</si>
  <si>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</si>
  <si>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</si>
  <si>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</si>
  <si>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</si>
  <si>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</si>
  <si>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</si>
  <si>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</si>
  <si>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</si>
  <si>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</si>
  <si>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</si>
  <si>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</si>
  <si>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</si>
  <si>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</si>
  <si>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</si>
  <si>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</si>
  <si>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</si>
  <si>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</si>
  <si>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</si>
  <si>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</si>
  <si>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</si>
  <si>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</si>
  <si>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</si>
  <si>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</si>
  <si>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</si>
  <si>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</si>
  <si>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</si>
  <si>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</si>
  <si>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</si>
  <si>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</si>
  <si>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</si>
  <si>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</si>
  <si>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</si>
  <si>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</si>
  <si>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</si>
  <si>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</si>
  <si>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</si>
  <si>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</si>
  <si>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</si>
  <si>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</si>
  <si>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</si>
  <si>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</si>
  <si>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</si>
  <si>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</si>
  <si>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</si>
  <si>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</si>
  <si>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</si>
  <si>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</si>
  <si>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</si>
  <si>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</si>
  <si>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</si>
  <si>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</si>
  <si>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</si>
  <si>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</si>
  <si>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</si>
  <si>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</si>
  <si>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</si>
  <si>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</si>
  <si>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</si>
  <si>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</si>
  <si>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</si>
  <si>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</si>
  <si>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</si>
  <si>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</si>
  <si>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</si>
  <si>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</si>
  <si>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</si>
  <si>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</si>
  <si>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</si>
  <si>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</si>
  <si>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</si>
  <si>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</si>
  <si>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</si>
  <si>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</si>
  <si>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</si>
  <si>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</si>
  <si>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</si>
  <si>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</si>
  <si>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</si>
  <si>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</si>
  <si>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</si>
  <si>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</si>
  <si>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</si>
  <si>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</si>
  <si>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</si>
  <si>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</si>
  <si>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</si>
  <si>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</si>
  <si>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</si>
  <si>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</si>
  <si>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</si>
  <si>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</si>
  <si>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</si>
  <si>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</si>
  <si>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</si>
  <si>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</si>
  <si>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</si>
  <si>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</si>
  <si>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</si>
  <si>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</si>
  <si>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</si>
  <si>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</si>
  <si>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</si>
  <si>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</si>
  <si>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</si>
  <si>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</si>
  <si>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</si>
  <si>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</si>
  <si>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</si>
  <si>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</si>
  <si>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</si>
  <si>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</si>
  <si>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</si>
  <si>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</si>
  <si>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</si>
  <si>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</si>
  <si>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</si>
  <si>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</si>
  <si>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</si>
  <si>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</si>
  <si>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</si>
  <si>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</si>
  <si>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</si>
  <si>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</si>
  <si>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</si>
  <si>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</si>
  <si>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</si>
  <si>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</si>
  <si>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</si>
  <si>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</si>
  <si>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</si>
  <si>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</si>
  <si>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</si>
  <si>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</si>
  <si>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</si>
  <si>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</si>
  <si>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</si>
  <si>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</si>
  <si>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</si>
  <si>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</si>
  <si>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</si>
  <si>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</si>
  <si>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</si>
  <si>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</si>
  <si>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</si>
  <si>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</si>
  <si>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</si>
  <si>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</si>
  <si>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</si>
  <si>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</si>
  <si>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</si>
  <si>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</si>
  <si>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</si>
  <si>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</si>
  <si>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</si>
  <si>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</si>
  <si>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</si>
  <si>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</si>
  <si>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</si>
  <si>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</si>
  <si>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</si>
  <si>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</si>
  <si>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</si>
  <si>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</si>
  <si>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</si>
  <si>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</si>
  <si>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</si>
  <si>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</si>
  <si>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</si>
  <si>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</si>
  <si>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</si>
  <si>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</si>
  <si>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</si>
  <si>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</si>
  <si>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</si>
  <si>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</si>
  <si>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</si>
  <si>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</si>
  <si>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</si>
  <si>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</si>
  <si>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</si>
  <si>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</si>
  <si>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</si>
  <si>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</si>
  <si>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</si>
  <si>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</si>
  <si>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</si>
  <si>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</si>
  <si>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</si>
  <si>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</si>
  <si>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</si>
  <si>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</si>
  <si>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</si>
  <si>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</si>
  <si>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</si>
  <si>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</si>
  <si>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</si>
  <si>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</si>
  <si>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</si>
  <si>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</si>
  <si>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</si>
  <si>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</si>
  <si>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</si>
  <si>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</si>
  <si>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</si>
  <si>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</si>
  <si>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</si>
  <si>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</si>
  <si>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</si>
  <si>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</si>
  <si>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</si>
  <si>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</si>
  <si>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</si>
  <si>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</si>
  <si>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</si>
  <si>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</si>
  <si>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</si>
  <si>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</si>
  <si>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</si>
  <si>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</si>
  <si>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</si>
  <si>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</si>
  <si>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</si>
  <si>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</si>
  <si>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</si>
  <si>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</si>
  <si>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</si>
  <si>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</si>
  <si>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</si>
  <si>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</si>
  <si>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</si>
  <si>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</si>
  <si>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</si>
  <si>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</si>
  <si>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</si>
  <si>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</si>
  <si>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</si>
  <si>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</si>
  <si>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</si>
  <si>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</si>
  <si>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</si>
  <si>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</si>
  <si>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</si>
  <si>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</si>
  <si>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</si>
  <si>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</si>
  <si>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</si>
  <si>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</si>
  <si>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</si>
  <si>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</si>
  <si>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</si>
  <si>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</si>
  <si>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</si>
  <si>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</si>
  <si>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</si>
  <si>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</si>
  <si>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</si>
  <si>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</si>
  <si>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</si>
  <si>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</si>
  <si>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</si>
  <si>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</si>
  <si>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</si>
  <si>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</si>
  <si>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</si>
  <si>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</si>
  <si>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</si>
  <si>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</si>
  <si>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</si>
  <si>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</si>
  <si>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</si>
  <si>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</si>
  <si>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</si>
  <si>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</si>
  <si>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</si>
  <si>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</si>
  <si>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</si>
  <si>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</si>
  <si>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</si>
  <si>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</si>
  <si>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</si>
  <si>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</si>
  <si>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</si>
  <si>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</si>
  <si>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</si>
  <si>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</si>
  <si>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</si>
  <si>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</si>
  <si>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</si>
  <si>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</si>
  <si>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</si>
  <si>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</si>
  <si>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</si>
  <si>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</si>
  <si>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</si>
  <si>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</si>
  <si>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</si>
  <si>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</si>
  <si>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</si>
  <si>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</si>
  <si>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</si>
  <si>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</si>
  <si>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</si>
  <si>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</si>
  <si>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</si>
  <si>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</si>
  <si>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</si>
  <si>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</si>
  <si>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</si>
  <si>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</si>
  <si>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</si>
  <si>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</si>
  <si>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</si>
  <si>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</si>
  <si>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</si>
  <si>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</si>
  <si>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</si>
  <si>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</si>
  <si>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</si>
  <si>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</si>
  <si>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</si>
  <si>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</si>
  <si>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</si>
  <si>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</si>
  <si>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</si>
  <si>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</si>
  <si>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</si>
  <si>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</si>
  <si>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</si>
  <si>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</si>
  <si>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</si>
  <si>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</si>
  <si>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</si>
  <si>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</si>
  <si>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</si>
  <si>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</si>
  <si>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</si>
  <si>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</si>
  <si>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</si>
  <si>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</si>
  <si>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</si>
  <si>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</si>
  <si>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</si>
  <si>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</si>
  <si>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</si>
  <si>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</si>
  <si>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</si>
  <si>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</si>
  <si>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</si>
  <si>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</si>
  <si>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</si>
  <si>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</si>
  <si>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</si>
  <si>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</si>
  <si>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</si>
  <si>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</si>
  <si>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</si>
  <si>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</si>
  <si>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</si>
  <si>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</si>
  <si>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</si>
  <si>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</si>
  <si>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</si>
  <si>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</si>
  <si>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</si>
  <si>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</si>
  <si>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</si>
  <si>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</si>
  <si>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</si>
  <si>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</si>
  <si>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</si>
  <si>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</si>
  <si>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</si>
  <si>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</si>
  <si>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</si>
  <si>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</si>
  <si>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</si>
  <si>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</si>
  <si>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</si>
  <si>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</si>
  <si>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</si>
  <si>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</si>
  <si>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</si>
  <si>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</si>
  <si>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</si>
  <si>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</si>
  <si>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</si>
  <si>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</si>
  <si>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</si>
  <si>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</si>
  <si>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</si>
  <si>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</si>
  <si>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</si>
  <si>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</si>
  <si>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</si>
  <si>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</si>
  <si>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</si>
  <si>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</si>
  <si>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</si>
  <si>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</si>
  <si>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</si>
  <si>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</si>
  <si>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</si>
  <si>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</si>
  <si>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</si>
  <si>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</si>
  <si>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</si>
  <si>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</si>
  <si>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</si>
  <si>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</si>
  <si>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</si>
  <si>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</si>
  <si>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</si>
  <si>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</si>
  <si>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</si>
  <si>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</si>
  <si>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</si>
  <si>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</si>
  <si>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</si>
  <si>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</si>
  <si>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</si>
  <si>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</si>
  <si>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</si>
  <si>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</si>
  <si>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</si>
  <si>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</si>
  <si>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</si>
  <si>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</si>
  <si>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</si>
  <si>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</si>
  <si>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</si>
  <si>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</si>
  <si>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</si>
  <si>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</si>
  <si>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</si>
  <si>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</si>
  <si>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</si>
  <si>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</si>
  <si>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</si>
  <si>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</si>
  <si>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</si>
  <si>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</si>
  <si>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</si>
  <si>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</si>
  <si>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</si>
  <si>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</si>
  <si>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</si>
  <si>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</si>
  <si>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</si>
  <si>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</si>
  <si>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</si>
  <si>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</si>
  <si>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</si>
  <si>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</si>
  <si>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</si>
  <si>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</si>
  <si>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</si>
  <si>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</si>
  <si>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</si>
  <si>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</si>
  <si>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</si>
  <si>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</si>
  <si>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</si>
  <si>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</si>
  <si>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</si>
  <si>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</si>
  <si>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</si>
  <si>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</si>
  <si>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</si>
  <si>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</si>
  <si>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</si>
  <si>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</si>
  <si>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</si>
  <si>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</si>
  <si>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</si>
  <si>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</si>
  <si>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</si>
  <si>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</si>
  <si>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</si>
  <si>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</si>
  <si>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</si>
  <si>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</si>
  <si>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</si>
  <si>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</si>
  <si>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</si>
  <si>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</si>
  <si>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</si>
  <si>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</si>
  <si>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</si>
  <si>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</si>
  <si>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</si>
  <si>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</si>
  <si>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</si>
  <si>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</si>
  <si>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</si>
  <si>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</si>
  <si>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</si>
  <si>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</si>
  <si>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</si>
  <si>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</si>
  <si>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</si>
  <si>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</si>
  <si>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</si>
  <si>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</si>
  <si>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</si>
  <si>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</si>
  <si>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</si>
  <si>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</si>
  <si>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</si>
  <si>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</si>
  <si>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</si>
  <si>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</si>
  <si>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</si>
  <si>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</si>
  <si>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</si>
  <si>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</si>
  <si>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</si>
  <si>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</si>
  <si>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</si>
  <si>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</si>
  <si>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</si>
  <si>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</si>
  <si>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</si>
  <si>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</si>
  <si>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</si>
  <si>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</si>
  <si>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</si>
  <si>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</si>
  <si>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</si>
  <si>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</si>
  <si>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</si>
  <si>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</si>
  <si>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</si>
  <si>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</si>
  <si>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</si>
  <si>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</si>
  <si>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</si>
  <si>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</si>
  <si>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</si>
  <si>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</si>
  <si>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</si>
  <si>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</si>
  <si>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</si>
  <si>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</si>
  <si>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</si>
  <si>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</si>
  <si>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</si>
  <si>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</si>
  <si>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</si>
  <si>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</si>
  <si>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</si>
  <si>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</si>
  <si>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</si>
  <si>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</si>
  <si>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</si>
  <si>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</si>
  <si>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</si>
  <si>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</si>
  <si>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</si>
  <si>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</si>
  <si>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</si>
  <si>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</si>
  <si>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</si>
  <si>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</si>
  <si>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</si>
  <si>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</si>
  <si>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</si>
  <si>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</si>
  <si>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</si>
  <si>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</si>
  <si>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</si>
  <si>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</si>
  <si>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</si>
  <si>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</si>
  <si>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</si>
  <si>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</si>
  <si>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</si>
  <si>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</si>
  <si>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</si>
  <si>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</si>
  <si>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</si>
  <si>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</si>
  <si>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</si>
  <si>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</si>
  <si>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</si>
  <si>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</si>
  <si>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</si>
  <si>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</si>
  <si>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</si>
  <si>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</si>
  <si>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</si>
  <si>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</si>
  <si>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</si>
  <si>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</si>
  <si>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</si>
  <si>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</si>
  <si>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</si>
  <si>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</si>
  <si>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</si>
  <si>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</si>
  <si>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</si>
  <si>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</si>
  <si>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</si>
  <si>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</si>
  <si>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</si>
  <si>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</si>
  <si>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</si>
  <si>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</si>
  <si>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</si>
  <si>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</si>
  <si>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</si>
  <si>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</si>
  <si>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</si>
  <si>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</si>
  <si>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</si>
  <si>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</si>
  <si>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</si>
  <si>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</si>
  <si>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</si>
  <si>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</si>
  <si>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</si>
  <si>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</si>
  <si>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</si>
  <si>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</si>
  <si>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</si>
  <si>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</si>
  <si>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</si>
  <si>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</si>
  <si>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</si>
  <si>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</si>
  <si>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</si>
  <si>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</si>
  <si>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</si>
  <si>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</si>
  <si>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</si>
  <si>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</si>
  <si>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</si>
  <si>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</si>
  <si>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</si>
  <si>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</si>
  <si>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</si>
  <si>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</si>
  <si>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</si>
  <si>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</si>
  <si>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</si>
  <si>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</si>
  <si>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</si>
  <si>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</si>
  <si>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</si>
  <si>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</si>
  <si>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</si>
  <si>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</si>
  <si>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</si>
  <si>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</si>
  <si>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</si>
  <si>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</si>
  <si>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</si>
  <si>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</si>
  <si>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</si>
  <si>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</si>
  <si>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</si>
  <si>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</si>
  <si>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</si>
  <si>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</si>
  <si>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</si>
  <si>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</si>
  <si>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</si>
  <si>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</si>
  <si>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</si>
  <si>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</si>
  <si>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</si>
  <si>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</si>
  <si>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</si>
  <si>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</si>
  <si>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</si>
  <si>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</si>
  <si>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</si>
  <si>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</si>
  <si>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</si>
  <si>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</si>
  <si>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</si>
  <si>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</si>
  <si>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</si>
  <si>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</si>
  <si>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</si>
  <si>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</si>
  <si>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</si>
  <si>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</si>
  <si>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</si>
  <si>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</si>
  <si>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</si>
  <si>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</si>
  <si>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</si>
  <si>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</si>
  <si>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</si>
  <si>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</si>
  <si>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</si>
  <si>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</si>
  <si>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</si>
  <si>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</si>
  <si>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</si>
  <si>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</si>
  <si>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</si>
  <si>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</si>
  <si>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</si>
  <si>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</si>
  <si>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</si>
  <si>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</si>
  <si>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</si>
  <si>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</si>
  <si>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</si>
  <si>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</si>
  <si>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</si>
  <si>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</si>
  <si>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</si>
  <si>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</si>
  <si>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</si>
  <si>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</si>
  <si>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</si>
  <si>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</si>
  <si>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</si>
  <si>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</si>
  <si>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</si>
  <si>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</si>
  <si>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</si>
  <si>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</si>
  <si>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</si>
  <si>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</si>
  <si>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</si>
  <si>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</si>
  <si>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</si>
  <si>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</si>
  <si>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</si>
  <si>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</si>
  <si>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</si>
  <si>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</si>
  <si>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</si>
  <si>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</si>
  <si>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</si>
  <si>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</si>
  <si>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</si>
  <si>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</si>
  <si>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</si>
  <si>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</si>
  <si>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</si>
  <si>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</si>
  <si>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</si>
  <si>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</si>
  <si>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</si>
  <si>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</si>
  <si>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</si>
  <si>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</si>
  <si>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</si>
  <si>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</si>
  <si>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</si>
  <si>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</si>
  <si>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</si>
  <si>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</si>
  <si>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</si>
  <si>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</si>
  <si>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</si>
  <si>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</si>
  <si>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</si>
  <si>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</si>
  <si>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</si>
  <si>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</si>
  <si>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</si>
  <si>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</si>
  <si>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</si>
  <si>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</si>
  <si>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</si>
  <si>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</si>
  <si>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</si>
  <si>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</si>
  <si>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</si>
  <si>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</si>
  <si>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</si>
  <si>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</si>
  <si>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</si>
  <si>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</si>
  <si>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</si>
  <si>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</si>
  <si>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</si>
  <si>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</si>
  <si>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</si>
  <si>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</si>
  <si>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</si>
  <si>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</si>
  <si>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</si>
  <si>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</si>
  <si>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</si>
  <si>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</si>
  <si>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</si>
  <si>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</si>
  <si>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</si>
  <si>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</si>
  <si>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</si>
  <si>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</si>
  <si>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</si>
  <si>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</si>
  <si>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</si>
  <si>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</si>
  <si>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</si>
  <si>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</si>
  <si>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</si>
  <si>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</si>
  <si>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</si>
  <si>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</si>
  <si>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</si>
  <si>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</si>
  <si>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</si>
  <si>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</si>
  <si>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</si>
  <si>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</si>
  <si>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</si>
  <si>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</si>
  <si>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</si>
  <si>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</si>
  <si>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</si>
  <si>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</si>
  <si>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</si>
  <si>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</si>
  <si>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</si>
  <si>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</si>
  <si>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</si>
  <si>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</si>
  <si>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</si>
  <si>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</si>
  <si>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</si>
  <si>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</si>
  <si>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</si>
  <si>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</si>
  <si>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</si>
  <si>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</si>
  <si>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</si>
  <si>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</si>
  <si>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</si>
  <si>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</si>
  <si>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</si>
  <si>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</si>
  <si>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</si>
  <si>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</si>
  <si>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</si>
  <si>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</si>
  <si>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</si>
  <si>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</si>
  <si>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</si>
  <si>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</si>
  <si>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</si>
  <si>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</si>
  <si>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</si>
  <si>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</si>
  <si>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</si>
  <si>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</si>
  <si>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</si>
  <si>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</si>
  <si>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</si>
  <si>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</si>
  <si>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</si>
  <si>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</si>
  <si>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</si>
  <si>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</si>
  <si>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</si>
  <si>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</si>
  <si>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</si>
  <si>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</si>
  <si>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</si>
  <si>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</si>
  <si>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</si>
  <si>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</si>
  <si>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</si>
  <si>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</si>
  <si>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</si>
  <si>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</si>
  <si>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</si>
  <si>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</si>
  <si>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</si>
  <si>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</si>
  <si>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</si>
  <si>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</si>
  <si>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</si>
  <si>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</si>
  <si>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</si>
  <si>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</si>
  <si>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</si>
  <si>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</si>
  <si>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</si>
  <si>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</si>
  <si>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</si>
  <si>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</si>
  <si>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</si>
  <si>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</si>
  <si>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</si>
  <si>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</si>
  <si>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</si>
  <si>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</si>
  <si>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</si>
  <si>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</si>
  <si>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</si>
  <si>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</si>
  <si>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</si>
  <si>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</si>
  <si>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</si>
  <si>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</si>
  <si>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</si>
  <si>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</si>
  <si>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</si>
  <si>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</si>
  <si>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</si>
  <si>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</si>
  <si>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</si>
  <si>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</si>
  <si>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</si>
  <si>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</si>
  <si>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</si>
  <si>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</si>
  <si>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</si>
  <si>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</si>
  <si>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</si>
  <si>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</si>
  <si>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</si>
  <si>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</si>
  <si>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</si>
  <si>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</si>
  <si>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</si>
  <si>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</si>
  <si>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</si>
  <si>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</si>
  <si>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</si>
  <si>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</si>
  <si>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</si>
  <si>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</si>
  <si>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</si>
  <si>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</si>
  <si>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</si>
  <si>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</si>
  <si>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</si>
  <si>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</si>
  <si>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</si>
  <si>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</si>
  <si>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</si>
  <si>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</si>
  <si>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</si>
  <si>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</si>
  <si>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</si>
  <si>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</si>
  <si>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</si>
  <si>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</si>
  <si>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</si>
  <si>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</si>
  <si>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</si>
  <si>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</si>
  <si>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</si>
  <si>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</si>
  <si>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</si>
  <si>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</si>
  <si>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</si>
  <si>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</si>
  <si>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</si>
  <si>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</si>
  <si>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</si>
  <si>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</si>
  <si>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</si>
  <si>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</si>
  <si>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</si>
  <si>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</si>
  <si>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</si>
  <si>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</si>
  <si>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</si>
  <si>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</si>
  <si>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</si>
  <si>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</si>
  <si>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</si>
  <si>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</si>
  <si>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</si>
  <si>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</si>
  <si>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</si>
  <si>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</si>
  <si>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</si>
  <si>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</si>
  <si>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</si>
  <si>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</si>
  <si>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</si>
  <si>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</si>
  <si>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</si>
  <si>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</si>
  <si>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</si>
  <si>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</si>
  <si>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</si>
  <si>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</si>
  <si>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</si>
  <si>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</si>
  <si>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</si>
  <si>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</si>
  <si>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</si>
  <si>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</si>
  <si>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</si>
  <si>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</si>
  <si>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</si>
  <si>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</si>
  <si>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</si>
  <si>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</si>
  <si>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</si>
  <si>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</si>
  <si>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</si>
  <si>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</si>
  <si>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</si>
  <si>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</si>
  <si>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</si>
  <si>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</si>
  <si>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</si>
  <si>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</si>
  <si>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</si>
  <si>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</si>
  <si>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</si>
  <si>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</si>
  <si>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</si>
  <si>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</si>
  <si>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</si>
  <si>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</si>
  <si>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</si>
  <si>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</si>
  <si>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</si>
  <si>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</si>
  <si>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</si>
  <si>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</si>
  <si>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</si>
  <si>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</si>
  <si>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</si>
  <si>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</si>
  <si>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</si>
  <si>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</si>
  <si>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</si>
  <si>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</si>
  <si>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</si>
  <si>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</si>
  <si>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</si>
  <si>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</si>
  <si>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</si>
  <si>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</si>
  <si>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</si>
  <si>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</si>
  <si>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</si>
  <si>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</si>
  <si>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</si>
  <si>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</si>
  <si>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</si>
  <si>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</si>
  <si>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</si>
  <si>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</si>
  <si>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</si>
  <si>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</si>
  <si>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</si>
  <si>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</si>
  <si>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</si>
  <si>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</si>
  <si>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</si>
  <si>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</si>
  <si>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</si>
  <si>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</si>
  <si>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</si>
  <si>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</si>
  <si>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</si>
  <si>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</si>
  <si>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</si>
  <si>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</si>
  <si>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</si>
  <si>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</si>
  <si>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</si>
  <si>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</si>
  <si>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</si>
  <si>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</si>
  <si>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</si>
  <si>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</si>
  <si>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</si>
  <si>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</si>
  <si>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</si>
  <si>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</si>
  <si>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</si>
  <si>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</si>
  <si>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</si>
  <si>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</si>
  <si>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</si>
  <si>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</si>
  <si>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</si>
  <si>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</si>
  <si>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</si>
  <si>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</si>
  <si>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</si>
  <si>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</si>
  <si>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</si>
  <si>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</si>
  <si>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</si>
  <si>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</si>
  <si>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</si>
  <si>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</si>
  <si>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</si>
  <si>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</si>
  <si>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</si>
  <si>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</si>
  <si>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</si>
  <si>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</si>
  <si>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</si>
  <si>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</si>
  <si>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</si>
  <si>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</si>
  <si>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</si>
  <si>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</si>
  <si>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</si>
  <si>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</si>
  <si>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</si>
  <si>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</si>
  <si>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</si>
  <si>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</si>
  <si>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</si>
  <si>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</si>
  <si>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</si>
  <si>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</si>
  <si>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</si>
  <si>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</si>
  <si>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</si>
  <si>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</si>
  <si>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</si>
  <si>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</si>
  <si>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</si>
  <si>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</si>
  <si>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</si>
  <si>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</si>
  <si>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</si>
  <si>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</si>
  <si>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</si>
  <si>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</si>
  <si>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</si>
  <si>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</si>
  <si>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</si>
  <si>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</si>
  <si>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</si>
  <si>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</si>
  <si>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</si>
  <si>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</si>
  <si>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</si>
  <si>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</si>
  <si>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</si>
  <si>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</si>
  <si>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</si>
  <si>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</si>
  <si>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</si>
  <si>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</si>
  <si>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</si>
  <si>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</si>
  <si>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</si>
  <si>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</si>
  <si>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</si>
  <si>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</si>
  <si>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</si>
  <si>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</si>
  <si>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</si>
  <si>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</si>
  <si>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</si>
  <si>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</si>
  <si>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</si>
  <si>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</si>
  <si>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</si>
  <si>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</si>
  <si>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</si>
  <si>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</si>
  <si>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</si>
  <si>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</si>
  <si>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</si>
  <si>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</si>
  <si>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</si>
  <si>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</si>
  <si>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</si>
  <si>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</si>
  <si>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</si>
  <si>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</si>
  <si>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</si>
  <si>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</si>
  <si>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</si>
  <si>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</si>
  <si>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</si>
  <si>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</si>
  <si>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</si>
  <si>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</si>
  <si>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</si>
  <si>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</si>
  <si>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</si>
  <si>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</si>
  <si>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</si>
  <si>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</si>
  <si>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</si>
  <si>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</si>
  <si>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</si>
  <si>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</si>
  <si>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</si>
  <si>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</si>
  <si>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</si>
  <si>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</si>
  <si>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</si>
  <si>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</si>
  <si>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</si>
  <si>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</si>
  <si>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</si>
  <si>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</si>
  <si>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</si>
  <si>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</si>
  <si>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</si>
  <si>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</si>
  <si>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</si>
  <si>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</si>
  <si>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</si>
  <si>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</si>
  <si>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</si>
  <si>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</si>
  <si>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</si>
  <si>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</si>
  <si>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</si>
  <si>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</si>
  <si>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</si>
  <si>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</si>
  <si>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</si>
  <si>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</si>
  <si>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</si>
  <si>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</si>
  <si>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</si>
  <si>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</si>
  <si>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</si>
  <si>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</si>
  <si>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</si>
  <si>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</si>
  <si>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</si>
  <si>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</si>
  <si>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</si>
  <si>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</si>
  <si>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</si>
  <si>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</si>
  <si>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</si>
  <si>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</si>
  <si>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</si>
  <si>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</si>
  <si>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</si>
  <si>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</si>
  <si>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</si>
  <si>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</si>
  <si>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</si>
  <si>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</si>
  <si>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</si>
  <si>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</si>
  <si>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</si>
  <si>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</si>
  <si>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</si>
  <si>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</si>
  <si>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</si>
  <si>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</si>
  <si>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</si>
  <si>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</si>
  <si>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</si>
  <si>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</si>
  <si>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</si>
  <si>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</si>
  <si>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</si>
  <si>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</si>
  <si>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</si>
  <si>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</si>
  <si>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</si>
  <si>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</si>
  <si>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</si>
  <si>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</si>
  <si>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</si>
  <si>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</si>
  <si>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</si>
  <si>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</si>
  <si>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</si>
  <si>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</si>
  <si>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</si>
  <si>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</si>
  <si>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</si>
  <si>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</si>
  <si>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</si>
  <si>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</si>
  <si>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</si>
  <si>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</si>
  <si>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</si>
  <si>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</si>
  <si>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</si>
  <si>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</si>
  <si>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</si>
  <si>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</si>
  <si>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</si>
  <si>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</si>
  <si>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</si>
  <si>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</si>
  <si>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</si>
  <si>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</si>
  <si>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</si>
  <si>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</si>
  <si>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</si>
  <si>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</si>
  <si>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</si>
  <si>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</si>
  <si>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</si>
  <si>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</si>
  <si>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</si>
  <si>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</si>
  <si>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</si>
  <si>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</si>
  <si>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</si>
  <si>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</si>
  <si>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</si>
  <si>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</si>
  <si>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</si>
  <si>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</si>
  <si>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</si>
  <si>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</si>
  <si>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</si>
  <si>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</si>
  <si>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</si>
  <si>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</si>
  <si>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</si>
  <si>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</si>
  <si>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</si>
  <si>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</si>
  <si>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</si>
  <si>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</si>
  <si>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</si>
  <si>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</si>
  <si>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</si>
  <si>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</si>
  <si>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</si>
  <si>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</si>
  <si>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</si>
  <si>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</si>
  <si>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</si>
  <si>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</si>
  <si>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</si>
  <si>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</si>
  <si>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</si>
  <si>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</si>
  <si>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</si>
  <si>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</si>
  <si>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</si>
  <si>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</si>
  <si>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</si>
  <si>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</si>
  <si>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</si>
  <si>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</si>
  <si>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</si>
  <si>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</si>
  <si>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</si>
  <si>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</si>
  <si>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</si>
  <si>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</si>
  <si>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</si>
  <si>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</si>
  <si>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</si>
  <si>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</si>
  <si>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</si>
  <si>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</si>
  <si>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</si>
  <si>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</si>
  <si>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</si>
  <si>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</si>
  <si>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</si>
  <si>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</si>
  <si>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</si>
  <si>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</si>
  <si>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</si>
  <si>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</si>
  <si>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</si>
  <si>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</si>
  <si>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</si>
  <si>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</si>
  <si>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</si>
  <si>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</si>
  <si>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</si>
  <si>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</si>
  <si>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</si>
  <si>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</si>
  <si>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</si>
  <si>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</si>
  <si>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</si>
  <si>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</si>
  <si>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</si>
  <si>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</si>
  <si>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</si>
  <si>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</si>
  <si>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</si>
  <si>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</si>
  <si>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</si>
  <si>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</si>
  <si>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</si>
  <si>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</si>
  <si>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</si>
  <si>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</si>
  <si>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</si>
  <si>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</si>
  <si>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</si>
  <si>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</si>
  <si>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</si>
  <si>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</si>
  <si>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</si>
  <si>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</si>
  <si>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</si>
  <si>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</si>
  <si>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</si>
  <si>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</si>
  <si>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</si>
  <si>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</si>
  <si>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</si>
  <si>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</si>
  <si>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</si>
  <si>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</si>
  <si>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</si>
  <si>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</si>
  <si>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</si>
  <si>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</si>
  <si>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</si>
  <si>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</si>
  <si>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</si>
  <si>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</si>
  <si>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</si>
  <si>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</si>
  <si>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</si>
  <si>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</si>
  <si>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</si>
  <si>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</si>
  <si>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</si>
  <si>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</si>
  <si>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</si>
  <si>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</si>
  <si>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</si>
  <si>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</si>
  <si>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</si>
  <si>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</si>
  <si>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</si>
  <si>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</si>
  <si>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</si>
  <si>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</si>
  <si>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</si>
  <si>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</si>
  <si>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</si>
  <si>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</si>
  <si>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</si>
  <si>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</si>
  <si>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</si>
  <si>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</si>
  <si>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</si>
  <si>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</si>
  <si>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</si>
  <si>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</si>
  <si>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</si>
  <si>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</si>
  <si>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</si>
  <si>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</si>
  <si>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</si>
  <si>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</si>
  <si>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</si>
  <si>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</si>
  <si>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</si>
  <si>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</si>
  <si>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</si>
  <si>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</si>
  <si>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</si>
  <si>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</si>
  <si>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</si>
  <si>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</si>
  <si>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</si>
  <si>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</si>
  <si>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</si>
  <si>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</si>
  <si>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</si>
  <si>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</si>
  <si>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</si>
  <si>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</si>
  <si>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</si>
  <si>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</si>
  <si>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</si>
  <si>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</si>
  <si>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</si>
  <si>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</si>
  <si>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</si>
  <si>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</si>
  <si>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</si>
  <si>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</si>
  <si>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</si>
  <si>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</si>
  <si>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</si>
  <si>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</si>
  <si>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</si>
  <si>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</si>
  <si>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</si>
  <si>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</si>
  <si>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</si>
  <si>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</si>
  <si>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</si>
  <si>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</si>
  <si>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</si>
  <si>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</si>
  <si>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</si>
  <si>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</si>
  <si>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</si>
  <si>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</si>
  <si>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</si>
  <si>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</si>
  <si>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</si>
  <si>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</si>
  <si>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</si>
  <si>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</si>
  <si>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</si>
  <si>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</si>
  <si>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</si>
  <si>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</si>
  <si>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</si>
  <si>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</si>
  <si>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</si>
  <si>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</si>
  <si>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</si>
  <si>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</si>
  <si>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</si>
  <si>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</si>
  <si>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</si>
  <si>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</si>
  <si>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</si>
  <si>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</si>
  <si>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</si>
  <si>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</si>
  <si>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</si>
  <si>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</si>
  <si>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</si>
  <si>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</si>
  <si>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</si>
  <si>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</si>
  <si>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</si>
  <si>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</si>
  <si>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</si>
  <si>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</si>
  <si>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</si>
  <si>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</si>
  <si>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</si>
  <si>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</si>
  <si>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</si>
  <si>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</si>
  <si>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</si>
  <si>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</si>
  <si>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</si>
  <si>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</si>
  <si>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</si>
  <si>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</si>
  <si>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</si>
  <si>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</si>
  <si>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</si>
  <si>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</si>
  <si>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</si>
  <si>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</si>
  <si>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</si>
  <si>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</si>
  <si>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</si>
  <si>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</si>
  <si>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</si>
  <si>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</si>
  <si>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</si>
  <si>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</si>
  <si>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</si>
  <si>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</si>
  <si>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</si>
  <si>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</si>
  <si>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</si>
  <si>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</si>
  <si>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</si>
  <si>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</si>
  <si>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</si>
  <si>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</si>
  <si>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</si>
  <si>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</si>
  <si>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</si>
  <si>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</si>
  <si>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</si>
  <si>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</si>
  <si>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</si>
  <si>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</si>
  <si>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</si>
  <si>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</si>
  <si>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</si>
  <si>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</si>
  <si>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</si>
  <si>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</si>
  <si>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</si>
  <si>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</si>
  <si>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</si>
  <si>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</si>
  <si>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</si>
  <si>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</si>
  <si>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</si>
  <si>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</si>
  <si>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</si>
  <si>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</si>
  <si>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</si>
  <si>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</si>
  <si>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</si>
  <si>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</si>
  <si>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</si>
  <si>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</si>
  <si>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</si>
  <si>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</si>
  <si>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</si>
  <si>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</si>
  <si>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</si>
  <si>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</si>
  <si>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</si>
  <si>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</si>
  <si>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</si>
  <si>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</si>
  <si>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</si>
  <si>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</si>
  <si>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</si>
  <si>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</si>
  <si>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</si>
  <si>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</si>
  <si>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</si>
  <si>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</si>
  <si>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</si>
  <si>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</si>
  <si>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</si>
  <si>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</si>
  <si>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</si>
  <si>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</si>
  <si>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</si>
  <si>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</si>
  <si>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</si>
  <si>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</si>
  <si>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</si>
  <si>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</si>
  <si>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</si>
  <si>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</si>
  <si>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</si>
  <si>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</si>
  <si>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</si>
  <si>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</si>
  <si>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</si>
  <si>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</si>
  <si>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</si>
  <si>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</si>
  <si>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</si>
  <si>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</si>
  <si>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</si>
  <si>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</si>
  <si>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</si>
  <si>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</si>
  <si>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</si>
  <si>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</si>
  <si>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</si>
  <si>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</si>
  <si>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</si>
  <si>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</si>
  <si>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</si>
  <si>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</si>
  <si>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</si>
  <si>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</si>
  <si>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</si>
  <si>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</si>
  <si>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</si>
  <si>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</si>
  <si>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</si>
  <si>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</si>
  <si>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</si>
  <si>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</si>
  <si>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</si>
  <si>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</si>
  <si>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</si>
  <si>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</si>
  <si>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</si>
  <si>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</si>
  <si>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</si>
  <si>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</si>
  <si>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</si>
  <si>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</si>
  <si>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</si>
  <si>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</si>
  <si>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</si>
  <si>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</si>
  <si>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</si>
  <si>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</si>
  <si>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</si>
  <si>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</si>
  <si>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</si>
  <si>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</si>
  <si>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</si>
  <si>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</si>
  <si>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</si>
  <si>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</si>
  <si>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</si>
  <si>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</si>
  <si>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</si>
  <si>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</si>
  <si>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</si>
  <si>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</si>
  <si>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</si>
  <si>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</si>
  <si>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</si>
  <si>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</si>
  <si>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</si>
  <si>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</si>
  <si>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</si>
  <si>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</si>
  <si>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</si>
  <si>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</si>
  <si>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</si>
  <si>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</si>
  <si>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</si>
  <si>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</si>
  <si>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</si>
  <si>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</si>
  <si>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</si>
  <si>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</si>
  <si>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</si>
  <si>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</si>
  <si>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</si>
  <si>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</si>
  <si>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</si>
  <si>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</si>
  <si>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</si>
  <si>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</si>
  <si>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</si>
  <si>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</si>
  <si>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</si>
  <si>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</si>
  <si>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</si>
  <si>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</si>
  <si>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</si>
  <si>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</si>
  <si>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</si>
  <si>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</si>
  <si>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</si>
  <si>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</si>
  <si>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</si>
  <si>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</si>
  <si>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</si>
  <si>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</si>
  <si>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</si>
  <si>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</si>
  <si>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</si>
  <si>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</si>
  <si>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</si>
  <si>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</si>
  <si>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</si>
  <si>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</si>
  <si>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</si>
  <si>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</si>
  <si>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</si>
  <si>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</si>
  <si>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</si>
  <si>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</si>
  <si>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</si>
  <si>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</si>
  <si>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</si>
  <si>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</si>
  <si>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</si>
  <si>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</si>
  <si>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</si>
  <si>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</si>
  <si>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</si>
  <si>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</si>
  <si>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</si>
  <si>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</si>
  <si>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</si>
  <si>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</si>
  <si>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</si>
  <si>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</si>
  <si>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</si>
  <si>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</si>
  <si>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</si>
  <si>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</si>
  <si>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</si>
  <si>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</si>
  <si>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</si>
  <si>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</si>
  <si>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</si>
  <si>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</si>
  <si>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</si>
  <si>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</si>
  <si>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</si>
  <si>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</si>
  <si>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</si>
  <si>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</si>
  <si>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</si>
  <si>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</si>
  <si>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</si>
  <si>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</si>
  <si>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</si>
  <si>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</si>
  <si>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</si>
  <si>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</si>
  <si>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</si>
  <si>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</si>
  <si>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</si>
  <si>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</si>
  <si>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</si>
  <si>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</si>
  <si>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</si>
  <si>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</si>
  <si>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</si>
  <si>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</si>
  <si>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</si>
  <si>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</si>
  <si>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</si>
  <si>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</si>
  <si>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</si>
  <si>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</si>
  <si>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</si>
  <si>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</si>
  <si>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</si>
  <si>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</si>
  <si>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</si>
  <si>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</si>
  <si>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</si>
  <si>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</si>
  <si>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</si>
  <si>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</si>
  <si>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</si>
  <si>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</si>
  <si>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</si>
  <si>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</si>
  <si>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</si>
  <si>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</si>
  <si>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</si>
  <si>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</si>
  <si>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</si>
  <si>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</si>
  <si>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</si>
  <si>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</si>
  <si>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</si>
  <si>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</si>
  <si>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</si>
  <si>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</si>
  <si>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</si>
  <si>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</si>
  <si>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</si>
  <si>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</si>
  <si>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</si>
  <si>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</si>
  <si>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</si>
  <si>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</si>
  <si>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</si>
  <si>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</si>
  <si>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</si>
  <si>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</si>
  <si>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</si>
  <si>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</si>
  <si>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</si>
  <si>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</si>
  <si>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</si>
  <si>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</si>
  <si>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</si>
  <si>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</si>
  <si>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</si>
  <si>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</si>
  <si>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</si>
  <si>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</si>
  <si>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</si>
  <si>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</si>
  <si>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</si>
  <si>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</si>
  <si>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</si>
  <si>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</si>
  <si>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</si>
  <si>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</si>
  <si>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</si>
  <si>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</si>
  <si>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</si>
  <si>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</si>
  <si>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</si>
  <si>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</si>
  <si>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</si>
  <si>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</si>
  <si>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</si>
  <si>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</si>
  <si>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</si>
  <si>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</si>
  <si>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</si>
  <si>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</si>
  <si>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</si>
  <si>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</si>
  <si>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</si>
  <si>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</si>
  <si>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</si>
  <si>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</si>
  <si>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</si>
  <si>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</si>
  <si>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</si>
  <si>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</si>
  <si>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</si>
  <si>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</si>
  <si>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</si>
  <si>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</si>
  <si>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</si>
  <si>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</si>
  <si>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</si>
  <si>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</si>
  <si>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</si>
  <si>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</si>
  <si>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</si>
  <si>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</si>
  <si>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</si>
  <si>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</si>
  <si>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</si>
  <si>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</si>
  <si>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</si>
  <si>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</si>
  <si>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</si>
  <si>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</si>
  <si>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</si>
  <si>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</si>
  <si>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</si>
  <si>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</si>
  <si>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</si>
  <si>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</si>
  <si>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</si>
  <si>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</si>
  <si>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</si>
  <si>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</si>
  <si>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</si>
  <si>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</si>
  <si>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</si>
  <si>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</si>
  <si>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</si>
  <si>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</si>
  <si>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</si>
  <si>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</si>
  <si>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</si>
  <si>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</si>
  <si>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</si>
  <si>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</si>
  <si>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</si>
  <si>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</si>
  <si>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</si>
  <si>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</si>
  <si>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</si>
  <si>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</si>
  <si>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</si>
  <si>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</si>
  <si>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</si>
  <si>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</si>
  <si>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</si>
  <si>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</si>
  <si>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</si>
  <si>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</si>
  <si>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</si>
  <si>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</si>
  <si>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</si>
  <si>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</si>
  <si>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</si>
  <si>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</si>
  <si>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</si>
  <si>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</si>
  <si>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</si>
  <si>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</si>
  <si>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</si>
  <si>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</si>
  <si>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</si>
  <si>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</si>
  <si>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</si>
  <si>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</si>
  <si>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</si>
  <si>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</si>
  <si>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</si>
  <si>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</si>
  <si>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</si>
  <si>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</si>
  <si>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</si>
  <si>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</si>
  <si>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</si>
  <si>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</si>
  <si>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</si>
  <si>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</si>
  <si>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</si>
  <si>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</si>
  <si>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</si>
  <si>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</si>
  <si>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</si>
  <si>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</si>
  <si>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</si>
  <si>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</si>
  <si>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</si>
  <si>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</si>
  <si>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</si>
  <si>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</si>
  <si>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</si>
  <si>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</si>
  <si>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</si>
  <si>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</si>
  <si>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</si>
  <si>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</si>
  <si>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</si>
  <si>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</si>
  <si>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</si>
  <si>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</si>
  <si>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</si>
  <si>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</si>
  <si>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</si>
  <si>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</si>
  <si>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</si>
  <si>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</si>
  <si>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</si>
  <si>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</si>
  <si>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</si>
  <si>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</si>
  <si>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</si>
  <si>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</si>
  <si>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</si>
  <si>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</si>
  <si>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</si>
  <si>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</si>
  <si>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</si>
  <si>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</si>
  <si>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</si>
  <si>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</si>
  <si>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</si>
  <si>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</si>
  <si>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</si>
  <si>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</si>
  <si>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</si>
  <si>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</si>
  <si>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</si>
  <si>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</si>
  <si>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</si>
  <si>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</si>
  <si>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</si>
  <si>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</si>
  <si>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</si>
  <si>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</si>
  <si>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</si>
  <si>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</si>
  <si>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</si>
  <si>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</si>
  <si>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</si>
  <si>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</si>
  <si>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</si>
  <si>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</si>
  <si>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</si>
  <si>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</si>
  <si>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</si>
  <si>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</si>
  <si>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</si>
  <si>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</si>
  <si>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</si>
  <si>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</si>
  <si>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</si>
  <si>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</si>
  <si>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</si>
  <si>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</si>
  <si>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</si>
  <si>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</si>
  <si>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</si>
  <si>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</si>
  <si>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</si>
  <si>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</si>
  <si>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</si>
  <si>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</si>
  <si>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</si>
  <si>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</si>
  <si>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</si>
  <si>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</si>
  <si>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</si>
  <si>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</si>
  <si>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</si>
  <si>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</si>
  <si>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</si>
  <si>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</si>
  <si>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</si>
  <si>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</si>
  <si>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</si>
  <si>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</si>
  <si>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</si>
  <si>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</si>
  <si>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</si>
  <si>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</si>
  <si>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</si>
  <si>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</si>
  <si>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</si>
  <si>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</si>
  <si>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</si>
  <si>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</si>
  <si>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</si>
  <si>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</si>
  <si>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</si>
  <si>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</si>
  <si>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</si>
  <si>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</si>
  <si>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</si>
  <si>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</si>
  <si>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</si>
  <si>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</si>
  <si>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</si>
  <si>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</si>
  <si>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</si>
  <si>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</si>
  <si>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</si>
  <si>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</si>
  <si>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</si>
  <si>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</si>
  <si>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</si>
  <si>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</si>
  <si>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</si>
  <si>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</si>
  <si>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</si>
  <si>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</si>
  <si>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</si>
  <si>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</si>
  <si>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</si>
  <si>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</si>
  <si>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</si>
  <si>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</si>
  <si>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</si>
  <si>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</si>
  <si>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</si>
  <si>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</si>
  <si>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</si>
  <si>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</si>
  <si>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</si>
  <si>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</si>
  <si>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</si>
  <si>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</si>
  <si>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</si>
  <si>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</si>
  <si>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</si>
  <si>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</si>
  <si>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</si>
  <si>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</si>
  <si>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</si>
  <si>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</si>
  <si>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</si>
  <si>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</si>
  <si>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</si>
  <si>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</si>
  <si>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</si>
  <si>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</si>
  <si>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</si>
  <si>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</si>
  <si>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</si>
  <si>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</si>
  <si>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</si>
  <si>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</si>
  <si>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</si>
  <si>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</si>
  <si>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</si>
  <si>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</si>
  <si>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</si>
  <si>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</si>
  <si>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</si>
  <si>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</si>
  <si>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</si>
  <si>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</si>
  <si>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</si>
  <si>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</si>
  <si>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</si>
  <si>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</si>
  <si>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</si>
  <si>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</si>
  <si>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</si>
  <si>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</si>
  <si>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</si>
  <si>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</si>
  <si>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</si>
  <si>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</si>
  <si>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</si>
  <si>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</si>
  <si>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</si>
  <si>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</si>
  <si>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</si>
  <si>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</si>
  <si>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</si>
  <si>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</si>
  <si>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</si>
  <si>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</si>
  <si>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</si>
  <si>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</si>
  <si>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</si>
  <si>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</si>
  <si>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</si>
  <si>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</si>
  <si>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</si>
  <si>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</si>
  <si>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</si>
  <si>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</si>
  <si>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</si>
  <si>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</si>
  <si>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</si>
  <si>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</si>
  <si>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</si>
  <si>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</si>
  <si>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</si>
  <si>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</si>
  <si>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</si>
  <si>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</si>
  <si>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</si>
  <si>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</si>
  <si>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</si>
  <si>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</si>
  <si>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</si>
  <si>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</si>
  <si>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</si>
  <si>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</si>
  <si>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</si>
  <si>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</si>
  <si>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</si>
  <si>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</si>
  <si>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</si>
  <si>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</si>
  <si>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</si>
  <si>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</si>
  <si>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</si>
  <si>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</si>
  <si>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</si>
  <si>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</si>
  <si>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</si>
  <si>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</si>
  <si>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</si>
  <si>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</si>
  <si>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</si>
  <si>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</si>
  <si>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</si>
  <si>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</si>
  <si>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</si>
  <si>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</si>
  <si>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</si>
  <si>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</si>
  <si>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</si>
  <si>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</si>
  <si>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</si>
  <si>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</si>
  <si>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</si>
  <si>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</si>
  <si>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</si>
  <si>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</si>
  <si>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</si>
  <si>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</si>
  <si>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</si>
  <si>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</si>
  <si>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</si>
  <si>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</si>
  <si>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</si>
  <si>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</si>
  <si>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</si>
  <si>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</si>
  <si>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</si>
  <si>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</si>
  <si>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</si>
  <si>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</si>
  <si>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</si>
  <si>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</si>
  <si>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</si>
  <si>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</si>
  <si>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</si>
  <si>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</si>
  <si>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</si>
  <si>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</si>
  <si>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</si>
  <si>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</si>
  <si>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</si>
  <si>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</si>
  <si>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</si>
  <si>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</si>
  <si>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</si>
  <si>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</si>
  <si>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</si>
  <si>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</si>
  <si>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</si>
  <si>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</si>
  <si>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</si>
  <si>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</si>
  <si>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</si>
  <si>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</si>
  <si>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</si>
  <si>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</si>
  <si>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</si>
  <si>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</si>
  <si>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</si>
  <si>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</si>
  <si>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</si>
  <si>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</si>
  <si>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</si>
  <si>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</si>
  <si>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</si>
  <si>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</si>
  <si>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</si>
  <si>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</si>
  <si>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</si>
  <si>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</si>
  <si>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</si>
  <si>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</si>
  <si>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</si>
  <si>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</si>
  <si>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</si>
  <si>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</si>
  <si>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</si>
  <si>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</si>
  <si>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</si>
  <si>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</si>
  <si>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</si>
  <si>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</si>
  <si>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</si>
  <si>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</si>
  <si>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</si>
  <si>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</si>
  <si>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</si>
  <si>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</si>
  <si>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</si>
  <si>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</si>
  <si>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</si>
  <si>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</si>
  <si>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</si>
  <si>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</si>
  <si>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</si>
  <si>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</si>
  <si>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</si>
  <si>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</si>
  <si>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</si>
  <si>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</si>
  <si>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</si>
  <si>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</si>
  <si>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</si>
  <si>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</si>
  <si>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</si>
  <si>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</si>
  <si>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</si>
  <si>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</si>
  <si>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</si>
  <si>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</si>
  <si>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</si>
  <si>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</si>
  <si>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</si>
  <si>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</si>
  <si>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</si>
  <si>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</si>
  <si>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</si>
  <si>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</si>
  <si>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</si>
  <si>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</si>
  <si>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</si>
  <si>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</si>
  <si>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</si>
  <si>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</si>
  <si>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</si>
  <si>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</si>
  <si>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</si>
  <si>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</si>
  <si>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</si>
  <si>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</si>
  <si>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</si>
  <si>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</si>
  <si>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</si>
  <si>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</si>
  <si>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</si>
  <si>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</si>
  <si>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</si>
  <si>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</si>
  <si>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</si>
  <si>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</si>
  <si>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</si>
  <si>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</si>
  <si>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</si>
  <si>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</si>
  <si>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</si>
  <si>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</si>
  <si>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</si>
  <si>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</si>
  <si>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</si>
  <si>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</si>
  <si>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</si>
  <si>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</si>
  <si>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</si>
  <si>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</si>
  <si>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</si>
  <si>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</si>
  <si>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</si>
  <si>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</si>
  <si>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</si>
  <si>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</si>
  <si>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</si>
  <si>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</si>
  <si>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</si>
  <si>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</si>
  <si>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</si>
  <si>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</si>
  <si>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</si>
  <si>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</si>
  <si>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</si>
  <si>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</si>
  <si>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</si>
  <si>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</si>
  <si>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</si>
  <si>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</si>
  <si>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</si>
  <si>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</si>
  <si>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</si>
  <si>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</si>
  <si>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</si>
  <si>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</si>
  <si>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</si>
  <si>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</si>
  <si>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</si>
  <si>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</si>
  <si>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</si>
  <si>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</si>
  <si>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</si>
  <si>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</si>
  <si>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</si>
  <si>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</si>
  <si>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</si>
  <si>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</si>
  <si>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</si>
  <si>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</si>
  <si>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</si>
  <si>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</si>
  <si>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</si>
  <si>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</si>
  <si>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</si>
  <si>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</si>
  <si>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</si>
  <si>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</si>
  <si>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</si>
  <si>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</si>
  <si>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</si>
  <si>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</si>
  <si>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</si>
  <si>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</si>
  <si>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</si>
  <si>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</si>
  <si>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</si>
  <si>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</si>
  <si>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</si>
  <si>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</si>
  <si>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</si>
  <si>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</si>
  <si>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</si>
  <si>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</si>
  <si>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</si>
  <si>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</si>
  <si>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</si>
  <si>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</si>
  <si>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</si>
  <si>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</si>
  <si>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</si>
  <si>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</si>
  <si>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</si>
  <si>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</si>
  <si>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</si>
  <si>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</si>
  <si>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</si>
  <si>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</si>
  <si>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</si>
  <si>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</si>
  <si>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</si>
  <si>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</si>
  <si>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</si>
  <si>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</si>
  <si>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</si>
  <si>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</si>
  <si>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</si>
  <si>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</si>
  <si>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</si>
  <si>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</si>
  <si>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</si>
  <si>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</si>
  <si>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</si>
  <si>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</si>
  <si>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</si>
  <si>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</si>
  <si>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</si>
  <si>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</si>
  <si>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</si>
  <si>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</si>
  <si>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</si>
  <si>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</si>
  <si>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</si>
  <si>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</si>
  <si>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</si>
  <si>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</si>
  <si>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</si>
  <si>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</si>
  <si>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</si>
  <si>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</si>
  <si>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</si>
  <si>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</si>
  <si>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</si>
  <si>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</si>
  <si>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</si>
  <si>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</si>
  <si>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</si>
  <si>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</si>
  <si>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</si>
  <si>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</si>
  <si>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</si>
  <si>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</si>
  <si>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</si>
  <si>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</si>
  <si>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</si>
  <si>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</si>
  <si>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</si>
  <si>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</si>
  <si>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</si>
  <si>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</si>
  <si>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</si>
  <si>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</si>
  <si>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</si>
  <si>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</si>
  <si>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</si>
  <si>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</si>
  <si>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</si>
  <si>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</si>
  <si>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</si>
  <si>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</si>
  <si>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</si>
  <si>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</si>
  <si>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</si>
  <si>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</si>
  <si>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</si>
  <si>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</si>
  <si>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</si>
  <si>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</si>
  <si>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</si>
  <si>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</si>
  <si>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</si>
  <si>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</si>
  <si>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</si>
  <si>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</si>
  <si>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</si>
  <si>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</si>
  <si>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</si>
  <si>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</si>
  <si>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</si>
  <si>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</si>
  <si>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</si>
  <si>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</si>
  <si>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</si>
  <si>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</si>
  <si>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</si>
  <si>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</si>
  <si>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</si>
  <si>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</si>
  <si>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</si>
  <si>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</si>
  <si>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</si>
  <si>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</si>
  <si>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</si>
  <si>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</si>
  <si>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</si>
  <si>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</si>
  <si>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</si>
  <si>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</si>
  <si>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</si>
  <si>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</si>
  <si>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</si>
  <si>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</si>
  <si>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</si>
  <si>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</si>
  <si>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</si>
  <si>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</si>
  <si>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</si>
  <si>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</si>
  <si>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</si>
  <si>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</si>
  <si>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</si>
  <si>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</si>
  <si>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</si>
  <si>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</si>
  <si>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</si>
  <si>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</si>
  <si>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</si>
  <si>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</si>
  <si>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</si>
  <si>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</si>
  <si>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</si>
  <si>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</si>
  <si>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</si>
  <si>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</si>
  <si>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</si>
  <si>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</si>
  <si>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</si>
  <si>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</si>
  <si>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</si>
  <si>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</si>
  <si>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</si>
  <si>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</si>
  <si>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</si>
  <si>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</si>
  <si>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</si>
  <si>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</si>
  <si>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</si>
  <si>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</si>
  <si>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</si>
  <si>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</si>
  <si>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</si>
  <si>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</si>
  <si>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</si>
  <si>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</si>
  <si>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</si>
  <si>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</si>
  <si>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</si>
  <si>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</si>
  <si>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</si>
  <si>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</si>
  <si>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</si>
  <si>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</si>
  <si>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</si>
  <si>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</si>
  <si>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</si>
  <si>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</si>
  <si>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</si>
  <si>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</si>
  <si>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</si>
  <si>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</si>
  <si>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</si>
  <si>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</si>
  <si>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</si>
  <si>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</si>
  <si>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</si>
  <si>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</si>
  <si>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</si>
  <si>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</si>
  <si>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</si>
  <si>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</si>
  <si>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</si>
  <si>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</si>
  <si>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</si>
  <si>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</si>
  <si>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</si>
  <si>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</si>
  <si>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</si>
  <si>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</si>
  <si>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</si>
  <si>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</si>
  <si>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</si>
  <si>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</si>
  <si>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</si>
  <si>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</si>
  <si>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</si>
  <si>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</si>
  <si>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</si>
  <si>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</si>
  <si>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</si>
  <si>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</si>
  <si>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</si>
  <si>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</si>
  <si>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</si>
  <si>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</si>
  <si>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</si>
  <si>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</si>
  <si>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</si>
  <si>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</si>
  <si>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</si>
  <si>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</si>
  <si>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</si>
  <si>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</si>
  <si>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</si>
  <si>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</si>
  <si>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</si>
  <si>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</si>
  <si>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</si>
  <si>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</si>
  <si>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</si>
  <si>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</si>
  <si>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</si>
  <si>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</si>
  <si>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</si>
  <si>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</si>
  <si>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</si>
  <si>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</si>
  <si>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</si>
  <si>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</si>
  <si>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</si>
  <si>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</si>
  <si>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</si>
  <si>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</si>
  <si>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</si>
  <si>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</si>
  <si>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</si>
  <si>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</si>
  <si>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</si>
  <si>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</si>
  <si>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</si>
  <si>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</si>
  <si>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</si>
  <si>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</si>
  <si>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</si>
  <si>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</si>
  <si>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</si>
  <si>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</si>
  <si>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</si>
  <si>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</si>
  <si>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</si>
  <si>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</si>
  <si>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</si>
  <si>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</si>
  <si>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</si>
  <si>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</si>
  <si>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</si>
  <si>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</si>
  <si>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</si>
  <si>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</si>
  <si>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</si>
  <si>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</si>
  <si>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</si>
  <si>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</si>
  <si>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</si>
  <si>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</si>
  <si>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</si>
  <si>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</si>
  <si>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</si>
  <si>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</si>
  <si>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</si>
  <si>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</si>
  <si>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</si>
  <si>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</si>
  <si>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</si>
  <si>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</si>
  <si>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</si>
  <si>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</si>
  <si>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</si>
  <si>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</si>
  <si>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</si>
  <si>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</si>
  <si>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</si>
  <si>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</si>
  <si>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</si>
  <si>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</si>
  <si>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</si>
  <si>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</si>
  <si>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</si>
  <si>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</si>
  <si>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</si>
  <si>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</si>
  <si>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</si>
  <si>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</si>
  <si>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</si>
  <si>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</si>
  <si>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</si>
  <si>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</si>
  <si>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</si>
  <si>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</si>
  <si>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</si>
  <si>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</si>
  <si>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</si>
  <si>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</si>
  <si>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</si>
  <si>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</si>
  <si>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</si>
  <si>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</si>
  <si>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</si>
  <si>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</si>
  <si>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</si>
  <si>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</si>
  <si>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</si>
  <si>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</si>
  <si>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</si>
  <si>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</si>
  <si>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</si>
  <si>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</si>
  <si>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</si>
  <si>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</si>
  <si>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</si>
  <si>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</si>
  <si>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</si>
  <si>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</si>
  <si>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</si>
  <si>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</si>
  <si>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</si>
  <si>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</si>
  <si>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</si>
  <si>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</si>
  <si>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</si>
  <si>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</si>
  <si>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</si>
  <si>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</si>
  <si>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</si>
  <si>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</si>
  <si>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</si>
  <si>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</si>
  <si>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</si>
  <si>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</si>
  <si>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</si>
  <si>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</si>
  <si>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</si>
  <si>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</si>
  <si>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</si>
  <si>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</si>
  <si>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</si>
  <si>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</si>
  <si>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</si>
  <si>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</si>
  <si>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</si>
  <si>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</si>
  <si>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</si>
  <si>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</si>
  <si>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</si>
  <si>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</si>
  <si>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</si>
  <si>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</si>
  <si>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</si>
  <si>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</si>
  <si>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</si>
  <si>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</si>
  <si>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</si>
  <si>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</si>
  <si>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</si>
  <si>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</si>
  <si>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</si>
  <si>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</si>
  <si>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</si>
  <si>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</si>
  <si>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</si>
  <si>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</si>
  <si>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</si>
  <si>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</si>
  <si>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</si>
  <si>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</si>
  <si>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</si>
  <si>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</si>
  <si>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</si>
  <si>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</si>
  <si>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</si>
  <si>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</si>
  <si>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</si>
  <si>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</si>
  <si>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</si>
  <si>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</si>
  <si>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</si>
  <si>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</si>
  <si>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</si>
  <si>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</si>
  <si>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</si>
  <si>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</si>
  <si>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</si>
  <si>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</si>
  <si>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</si>
  <si>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</si>
  <si>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</si>
  <si>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</si>
  <si>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</si>
  <si>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</si>
  <si>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</si>
  <si>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</si>
  <si>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</si>
  <si>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</si>
  <si>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</si>
  <si>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</si>
  <si>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</si>
  <si>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</si>
  <si>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</si>
  <si>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</si>
  <si>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</si>
  <si>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</si>
  <si>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</si>
  <si>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</si>
  <si>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</si>
  <si>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</si>
  <si>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</si>
  <si>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</si>
  <si>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</si>
  <si>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</si>
  <si>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</si>
  <si>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</si>
  <si>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</si>
  <si>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</si>
  <si>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</si>
  <si>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</si>
  <si>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</si>
  <si>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</si>
  <si>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</si>
  <si>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</si>
  <si>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</si>
  <si>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</si>
  <si>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</si>
  <si>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</si>
  <si>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</si>
  <si>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</si>
  <si>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</si>
  <si>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</si>
  <si>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</si>
  <si>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</si>
  <si>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</si>
  <si>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</si>
  <si>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</si>
  <si>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</si>
  <si>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</si>
  <si>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</si>
  <si>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</si>
  <si>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</si>
  <si>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</si>
  <si>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</si>
  <si>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</si>
  <si>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</si>
  <si>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</si>
  <si>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</si>
  <si>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</si>
  <si>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</si>
  <si>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</si>
  <si>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</si>
  <si>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</si>
  <si>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</si>
  <si>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</si>
  <si>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</si>
  <si>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</si>
  <si>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</si>
  <si>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</si>
  <si>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</si>
  <si>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</si>
  <si>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</si>
  <si>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</si>
  <si>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</si>
  <si>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</si>
  <si>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</si>
  <si>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</si>
  <si>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</si>
  <si>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</si>
  <si>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</si>
  <si>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</si>
  <si>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</si>
  <si>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</si>
  <si>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</si>
  <si>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</si>
  <si>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</si>
  <si>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</si>
  <si>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</si>
  <si>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</si>
  <si>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</si>
  <si>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</si>
  <si>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</si>
  <si>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</si>
  <si>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</si>
  <si>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</si>
  <si>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</si>
  <si>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</si>
  <si>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</si>
  <si>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</si>
  <si>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</si>
  <si>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</si>
  <si>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</si>
  <si>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</si>
  <si>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</si>
  <si>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</si>
  <si>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</si>
  <si>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</si>
  <si>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</si>
  <si>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</si>
  <si>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</si>
  <si>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</si>
  <si>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</si>
  <si>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</si>
  <si>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</si>
  <si>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</si>
  <si>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</si>
  <si>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</si>
  <si>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</si>
  <si>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</si>
  <si>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</si>
  <si>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</si>
  <si>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</si>
  <si>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</si>
  <si>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</si>
  <si>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</si>
  <si>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</si>
  <si>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</si>
  <si>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</si>
  <si>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</si>
  <si>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</si>
  <si>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</si>
  <si>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</si>
  <si>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</si>
  <si>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</si>
  <si>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</si>
  <si>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</si>
  <si>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</si>
  <si>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</si>
  <si>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</si>
  <si>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</si>
  <si>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</si>
  <si>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</si>
  <si>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</si>
  <si>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</si>
  <si>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</si>
  <si>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</si>
  <si>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</si>
  <si>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</si>
  <si>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</si>
  <si>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</si>
  <si>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</si>
  <si>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</si>
  <si>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</si>
  <si>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</si>
  <si>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</si>
  <si>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</si>
  <si>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</si>
  <si>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</si>
  <si>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</si>
  <si>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</si>
  <si>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</si>
  <si>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</si>
  <si>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</si>
  <si>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</si>
  <si>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</si>
  <si>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</si>
  <si>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</si>
  <si>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</si>
  <si>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</si>
  <si>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</si>
  <si>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</si>
  <si>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</si>
  <si>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</si>
  <si>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</si>
  <si>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</si>
  <si>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</si>
  <si>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</si>
  <si>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</si>
  <si>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</si>
  <si>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</si>
  <si>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</si>
  <si>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</si>
  <si>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</si>
  <si>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</si>
  <si>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</si>
  <si>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</si>
  <si>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</si>
  <si>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</si>
  <si>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</si>
  <si>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</si>
  <si>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</si>
  <si>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</si>
  <si>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</si>
  <si>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</si>
  <si>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</si>
  <si>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</si>
  <si>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</si>
  <si>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</si>
  <si>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</si>
  <si>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</si>
  <si>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</si>
  <si>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</si>
  <si>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</si>
  <si>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</si>
  <si>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</si>
  <si>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</si>
  <si>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</si>
  <si>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</si>
  <si>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</si>
  <si>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</si>
  <si>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</si>
  <si>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</si>
  <si>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</si>
  <si>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</si>
  <si>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</si>
  <si>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</si>
  <si>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</si>
  <si>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</si>
  <si>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</si>
  <si>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</si>
  <si>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</si>
  <si>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</si>
  <si>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</si>
  <si>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</si>
  <si>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</si>
  <si>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</si>
  <si>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</si>
  <si>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</si>
  <si>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</si>
  <si>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</si>
  <si>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</si>
  <si>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</si>
  <si>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</si>
  <si>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</si>
  <si>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</si>
  <si>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</si>
  <si>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</si>
  <si>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</si>
  <si>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</si>
  <si>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</si>
  <si>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</si>
  <si>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</si>
  <si>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</si>
  <si>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</si>
  <si>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</si>
  <si>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</si>
  <si>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</si>
  <si>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</si>
  <si>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</si>
  <si>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</si>
  <si>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</si>
  <si>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</si>
  <si>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</si>
  <si>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</si>
  <si>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</si>
  <si>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</si>
  <si>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</si>
  <si>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</si>
  <si>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</si>
  <si>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</si>
  <si>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</si>
  <si>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</si>
  <si>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</si>
  <si>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</si>
  <si>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</si>
  <si>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</si>
  <si>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</si>
  <si>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</si>
  <si>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</si>
  <si>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</si>
  <si>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</si>
  <si>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</si>
  <si>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</si>
  <si>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</si>
  <si>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</si>
  <si>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</si>
  <si>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</si>
  <si>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</si>
  <si>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</si>
  <si>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</si>
  <si>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</si>
  <si>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</si>
  <si>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</si>
  <si>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</si>
  <si>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</si>
  <si>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</si>
  <si>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</si>
  <si>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</si>
  <si>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</si>
  <si>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</si>
  <si>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</si>
  <si>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</si>
  <si>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</si>
  <si>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</si>
  <si>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</si>
  <si>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</si>
  <si>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</si>
  <si>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</si>
  <si>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</si>
  <si>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</si>
  <si>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</si>
  <si>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</si>
  <si>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</si>
  <si>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</si>
  <si>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</si>
  <si>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</si>
  <si>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</si>
  <si>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</si>
  <si>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</si>
  <si>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</si>
  <si>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</si>
  <si>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</si>
  <si>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</si>
  <si>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</si>
  <si>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</si>
  <si>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</si>
  <si>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</si>
  <si>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</si>
  <si>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</si>
  <si>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</si>
  <si>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</si>
  <si>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</si>
  <si>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</si>
  <si>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</si>
  <si>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</si>
  <si>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</si>
  <si>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</si>
  <si>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</si>
  <si>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</si>
  <si>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</si>
  <si>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</si>
  <si>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</si>
  <si>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</si>
  <si>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</si>
  <si>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</si>
  <si>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</si>
  <si>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</si>
  <si>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</si>
  <si>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</si>
  <si>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</si>
  <si>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</si>
  <si>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</si>
  <si>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</si>
  <si>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</si>
  <si>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</si>
  <si>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</si>
  <si>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</si>
  <si>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</si>
  <si>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</si>
  <si>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</si>
  <si>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</si>
  <si>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</si>
  <si>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</si>
  <si>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</si>
  <si>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</si>
  <si>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</si>
  <si>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</si>
  <si>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</si>
  <si>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</si>
  <si>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</si>
  <si>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</si>
  <si>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</si>
  <si>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</si>
  <si>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</si>
  <si>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</si>
  <si>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</si>
  <si>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</si>
  <si>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</si>
  <si>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</si>
  <si>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</si>
  <si>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</si>
  <si>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</si>
  <si>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</si>
  <si>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</si>
  <si>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</si>
  <si>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</si>
  <si>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</si>
  <si>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</si>
  <si>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</si>
  <si>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</si>
  <si>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</si>
  <si>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</si>
  <si>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</si>
  <si>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</si>
  <si>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</si>
  <si>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</si>
  <si>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</si>
  <si>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</si>
  <si>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</si>
  <si>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</si>
  <si>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</si>
  <si>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</si>
  <si>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</si>
  <si>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</si>
  <si>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</si>
  <si>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</si>
  <si>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</si>
  <si>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</si>
  <si>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</si>
  <si>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</si>
  <si>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</si>
  <si>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</si>
  <si>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</si>
  <si>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</si>
  <si>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</si>
  <si>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</si>
  <si>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</si>
  <si>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</si>
  <si>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</si>
  <si>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</si>
  <si>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</si>
  <si>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</si>
  <si>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</si>
  <si>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</si>
  <si>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</si>
  <si>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</si>
  <si>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</si>
  <si>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</si>
  <si>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</si>
  <si>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</si>
  <si>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</si>
  <si>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</si>
  <si>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</si>
  <si>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</si>
  <si>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</si>
  <si>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</si>
  <si>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</si>
  <si>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</si>
  <si>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</si>
  <si>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</si>
  <si>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</si>
  <si>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</si>
  <si>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</si>
  <si>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</si>
  <si>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</si>
  <si>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</si>
  <si>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</si>
  <si>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</si>
  <si>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</si>
  <si>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</si>
  <si>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</si>
  <si>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</si>
  <si>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</si>
  <si>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</si>
  <si>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</si>
  <si>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</si>
  <si>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</si>
  <si>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</si>
  <si>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</si>
  <si>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</si>
  <si>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</si>
  <si>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</si>
  <si>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</si>
  <si>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</si>
  <si>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</si>
  <si>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</si>
  <si>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</si>
  <si>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</si>
  <si>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</si>
  <si>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</si>
  <si>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</si>
  <si>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</si>
  <si>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</si>
  <si>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</si>
  <si>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</si>
  <si>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</si>
  <si>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</si>
  <si>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</si>
  <si>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</si>
  <si>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</si>
  <si>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</si>
  <si>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</si>
  <si>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</si>
  <si>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</si>
  <si>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</si>
  <si>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</si>
  <si>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</si>
  <si>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</si>
  <si>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</si>
  <si>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</si>
  <si>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</si>
  <si>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</si>
  <si>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</si>
  <si>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</si>
  <si>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</si>
  <si>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</si>
  <si>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</si>
  <si>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</si>
  <si>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</si>
  <si>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</si>
  <si>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</si>
  <si>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</si>
  <si>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</si>
  <si>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</si>
  <si>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</si>
  <si>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</si>
  <si>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</si>
  <si>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</si>
  <si>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</si>
  <si>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</si>
  <si>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</si>
  <si>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</si>
  <si>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</si>
  <si>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</si>
  <si>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</si>
  <si>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</si>
  <si>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</si>
  <si>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</si>
  <si>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</si>
  <si>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</si>
  <si>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</si>
  <si>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</si>
  <si>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</si>
  <si>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</si>
  <si>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</si>
  <si>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</si>
  <si>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</si>
  <si>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</si>
  <si>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</si>
  <si>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</si>
  <si>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</si>
  <si>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</si>
  <si>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</si>
  <si>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</si>
  <si>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</si>
  <si>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</si>
  <si>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</si>
  <si>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</si>
  <si>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</si>
  <si>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</si>
  <si>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</si>
  <si>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</si>
  <si>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</si>
  <si>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</si>
  <si>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</si>
  <si>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</si>
  <si>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</si>
  <si>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</si>
  <si>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</si>
  <si>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</si>
  <si>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</si>
  <si>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</si>
  <si>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</si>
  <si>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</si>
  <si>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</si>
  <si>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</si>
  <si>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</si>
  <si>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</si>
  <si>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</si>
  <si>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</si>
  <si>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</si>
  <si>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</si>
  <si>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</si>
  <si>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</si>
  <si>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</si>
  <si>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</si>
  <si>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</si>
  <si>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</si>
  <si>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</si>
  <si>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</si>
  <si>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</si>
  <si>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</si>
  <si>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</si>
  <si>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</si>
  <si>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</si>
  <si>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</si>
  <si>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</si>
  <si>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</si>
  <si>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</si>
  <si>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</si>
  <si>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</si>
  <si>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</si>
  <si>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</si>
  <si>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</si>
  <si>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</si>
  <si>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</si>
  <si>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</si>
  <si>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</si>
  <si>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</si>
  <si>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</si>
  <si>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</si>
  <si>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</si>
  <si>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</si>
  <si>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</si>
  <si>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</si>
  <si>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</si>
  <si>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</si>
  <si>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</si>
  <si>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</si>
  <si>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</si>
  <si>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</si>
  <si>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</si>
  <si>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</si>
  <si>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</si>
  <si>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</si>
  <si>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</si>
  <si>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</si>
  <si>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</si>
  <si>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</si>
  <si>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</si>
  <si>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</si>
  <si>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</si>
  <si>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</si>
  <si>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</si>
  <si>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</si>
  <si>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</si>
  <si>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</si>
  <si>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</si>
  <si>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</si>
  <si>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</si>
  <si>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</si>
  <si>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</si>
  <si>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</si>
  <si>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</si>
  <si>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</si>
  <si>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</si>
  <si>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</si>
  <si>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</si>
  <si>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</si>
  <si>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</si>
  <si>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</si>
  <si>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</si>
  <si>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</si>
  <si>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</si>
  <si>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</si>
  <si>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</si>
  <si>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</si>
  <si>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</si>
  <si>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</si>
  <si>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</si>
  <si>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</si>
  <si>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</si>
  <si>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</si>
  <si>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</si>
  <si>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</si>
  <si>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</si>
  <si>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</si>
  <si>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</si>
  <si>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</si>
  <si>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</si>
  <si>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</si>
  <si>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</si>
  <si>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</si>
  <si>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</si>
  <si>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</si>
  <si>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</si>
  <si>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</si>
  <si>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</si>
  <si>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</si>
  <si>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</si>
  <si>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</si>
  <si>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</si>
  <si>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</si>
  <si>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</si>
  <si>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</si>
  <si>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</si>
  <si>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</si>
  <si>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</si>
  <si>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</si>
  <si>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</si>
  <si>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</si>
  <si>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</si>
  <si>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</si>
  <si>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</si>
  <si>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</si>
  <si>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</si>
  <si>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</si>
  <si>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</si>
  <si>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</si>
  <si>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</si>
  <si>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</si>
  <si>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</si>
  <si>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</si>
  <si>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</si>
  <si>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</si>
  <si>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</si>
  <si>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</si>
  <si>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</si>
  <si>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</si>
  <si>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</si>
  <si>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</si>
  <si>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</si>
  <si>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</si>
  <si>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</si>
  <si>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</si>
  <si>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</si>
  <si>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</si>
  <si>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</si>
  <si>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</si>
  <si>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</si>
  <si>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</si>
  <si>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</si>
  <si>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</si>
  <si>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</si>
  <si>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</si>
  <si>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</si>
  <si>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</si>
  <si>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</si>
  <si>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</si>
  <si>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</si>
  <si>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</si>
  <si>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</si>
  <si>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</si>
  <si>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</si>
  <si>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</si>
  <si>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</si>
  <si>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</si>
  <si>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</si>
  <si>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</si>
  <si>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</si>
  <si>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</si>
  <si>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</si>
  <si>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</si>
  <si>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</si>
  <si>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</si>
  <si>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</si>
  <si>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</si>
  <si>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</si>
  <si>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</si>
  <si>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</si>
  <si>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</si>
  <si>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</si>
  <si>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</si>
  <si>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</si>
  <si>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</si>
  <si>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</si>
  <si>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</si>
  <si>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</si>
  <si>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</si>
  <si>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</si>
  <si>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</si>
  <si>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</si>
  <si>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</si>
  <si>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</si>
  <si>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</si>
  <si>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</si>
  <si>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</si>
  <si>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</si>
  <si>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</si>
  <si>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</si>
  <si>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</si>
  <si>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</si>
  <si>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</si>
  <si>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</si>
  <si>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</si>
  <si>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</si>
  <si>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</si>
  <si>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</si>
  <si>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</si>
  <si>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</si>
  <si>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</si>
  <si>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</si>
  <si>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</si>
  <si>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</si>
  <si>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</si>
  <si>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</si>
  <si>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</si>
  <si>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</si>
  <si>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</si>
  <si>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</si>
  <si>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</si>
  <si>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</si>
  <si>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</si>
  <si>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</si>
  <si>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</si>
  <si>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</si>
  <si>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</si>
  <si>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</si>
  <si>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</si>
  <si>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</si>
  <si>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</si>
  <si>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</si>
  <si>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</si>
  <si>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</si>
  <si>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</si>
  <si>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</si>
  <si>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</si>
  <si>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</si>
  <si>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</si>
  <si>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</si>
  <si>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</si>
  <si>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</si>
  <si>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</si>
  <si>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</si>
  <si>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</si>
  <si>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</si>
  <si>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</si>
  <si>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</si>
  <si>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</si>
  <si>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</si>
  <si>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</si>
  <si>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</si>
  <si>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</si>
  <si>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</si>
  <si>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</si>
  <si>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</si>
  <si>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</si>
  <si>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</si>
  <si>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</si>
  <si>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</si>
  <si>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</si>
  <si>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</si>
  <si>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</si>
  <si>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</si>
  <si>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</si>
  <si>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</si>
  <si>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</si>
  <si>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</si>
  <si>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</si>
  <si>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</si>
  <si>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</si>
  <si>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</si>
  <si>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</si>
  <si>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</si>
  <si>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</si>
  <si>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</si>
  <si>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</si>
  <si>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</si>
  <si>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</si>
  <si>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</si>
  <si>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</si>
  <si>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</si>
  <si>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</si>
  <si>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</si>
  <si>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</si>
  <si>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</si>
  <si>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</si>
  <si>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</si>
  <si>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</si>
  <si>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</si>
  <si>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</si>
  <si>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</si>
  <si>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</si>
  <si>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</si>
  <si>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</si>
  <si>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</si>
  <si>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</si>
  <si>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</si>
  <si>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</si>
  <si>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</si>
  <si>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</si>
  <si>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</si>
  <si>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</si>
  <si>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</si>
  <si>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</si>
  <si>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</si>
  <si>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</si>
  <si>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</si>
  <si>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</si>
  <si>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</si>
  <si>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</si>
  <si>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</si>
  <si>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</si>
  <si>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</si>
  <si>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</si>
  <si>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</si>
  <si>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</si>
  <si>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</si>
  <si>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</si>
  <si>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</si>
  <si>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</si>
  <si>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</si>
  <si>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</si>
  <si>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</si>
  <si>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</si>
  <si>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</si>
  <si>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</si>
  <si>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</si>
  <si>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</si>
  <si>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</si>
  <si>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</si>
  <si>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</si>
  <si>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</si>
  <si>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</si>
  <si>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</si>
  <si>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</si>
  <si>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</si>
  <si>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</si>
  <si>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</si>
  <si>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</si>
  <si>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</si>
  <si>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</si>
  <si>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</si>
  <si>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</si>
  <si>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</si>
  <si>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</si>
  <si>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</si>
  <si>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</si>
  <si>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</si>
  <si>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</si>
  <si>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</si>
  <si>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Knowles Corporation, on behalf of itself and all of its affiliates, collectively referred to as “Knowles”</t>
  </si>
  <si>
    <t xml:space="preserve">Precision Devices Division - PD - Highly engineered Capacitors and Microwave to Millimeter Wave components. </t>
  </si>
  <si>
    <t>07-925-8305</t>
  </si>
  <si>
    <t>DUNS</t>
  </si>
  <si>
    <t xml:space="preserve">1) Knowles Corporation: 1151, Maplewood Drive, Itasca IL 60143 USA. 2) Knowles IPC: No. 17 Jalan Batu Maung, Dis3plex Free Commercial Zone, Airfreight Forwarders Warehousing Cargo Complex, Bayan Lepas, 11960 Penang, Malaysia.      
</t>
  </si>
  <si>
    <t>Sean England</t>
  </si>
  <si>
    <t>Sean.England@Knowles.com</t>
  </si>
  <si>
    <t>+44 1603 723368</t>
  </si>
  <si>
    <t>Product Compliance Manager</t>
  </si>
  <si>
    <t>Website, PO T&amp;C's, Supply Agreements,  Supplier Code of Conduct Evaluation requirement</t>
  </si>
  <si>
    <t>https://www.knowles.com/about-knowles/legal/conflict-minerals</t>
  </si>
  <si>
    <t>CID001421</t>
  </si>
  <si>
    <t>PT Belitung Industri Sejahtera</t>
  </si>
  <si>
    <t>CID001458</t>
  </si>
  <si>
    <t>PT Prima Timah Utama</t>
  </si>
  <si>
    <t>CID001463</t>
  </si>
  <si>
    <t>PT Sariwiguna Binasentosa</t>
  </si>
  <si>
    <t>CID001490</t>
  </si>
  <si>
    <t>PT Tinindo Inter Nusa</t>
  </si>
  <si>
    <t>CID002776</t>
  </si>
  <si>
    <t>PT Bangka Prima Tin</t>
  </si>
  <si>
    <t>Air Mesu</t>
  </si>
  <si>
    <t>Pengantungan</t>
  </si>
  <si>
    <t>Pangkal Pinang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</si>
</sst>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 #,##0_-;_-*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mmmm\ d\,\ yyyy;@"/>
    <numFmt numFmtId="169" formatCode="[$-409]d\-mmm\-yyyy;@"/>
    <numFmt numFmtId="170" formatCode="0.0"/>
    <numFmt numFmtId="171" formatCode="_-&quot;$&quot;* #,##0_-;\-&quot;$&quot;* #,##0_-;_-&quot;$&quot;* &quot;-&quot;_-;_-@_-"/>
    <numFmt numFmtId="172" formatCode="_-&quot;$&quot;* #,##0.00_-;\-&quot;$&quot;* #,##0.00_-;_-&quot;$&quot;* &quot;-&quot;??_-;_-@_-"/>
    <numFmt numFmtId="173" formatCode="_-* #,##0\ &quot;€&quot;_-;\-* #,##0\ &quot;€&quot;_-;_-* &quot;-&quot;\ &quot;€&quot;_-;_-@_-"/>
    <numFmt numFmtId="174" formatCode="_-* #,##0\ _€_-;\-* #,##0\ _€_-;_-* &quot;-&quot;\ _€_-;_-@_-"/>
    <numFmt numFmtId="175" formatCode="_-* #,##0.00\ &quot;€&quot;_-;\-* #,##0.00\ &quot;€&quot;_-;_-* &quot;-&quot;??\ &quot;€&quot;_-;_-@_-"/>
    <numFmt numFmtId="176" formatCode="_-* #,##0.00\ _€_-;\-* #,##0.00\ _€_-;_-* &quot;-&quot;??\ _€_-;_-@_-"/>
    <numFmt numFmtId="177" formatCode="_-&quot;€&quot;\ * #,##0_-;\-&quot;€&quot;\ * #,##0_-;_-&quot;€&quot;\ * &quot;-&quot;_-;_-@_-"/>
    <numFmt numFmtId="178" formatCode="_-&quot;€&quot;\ * #,##0.00_-;\-&quot;€&quot;\ * #,##0.00_-;_-&quot;€&quot;\ * &quot;-&quot;??_-;_-@_-"/>
  </numFmts>
  <fonts count="99">
    <font>
      <sz val="10"/>
      <name val="Verdana"/>
      <family val="2"/>
    </font>
    <font>
      <sz val="11"/>
      <color theme="1"/>
      <name val="Calibri"/>
      <family val="2"/>
      <scheme val="minor"/>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b/>
      <sz val="11"/>
      <color theme="1"/>
      <name val="Calibri"/>
      <family val="2"/>
      <scheme val="min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4">
    <xf numFmtId="0" fontId="0" fillId="0" borderId="0"/>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8" fillId="26" borderId="0" applyNumberFormat="0" applyBorder="0" applyAlignment="0" applyProtection="0"/>
    <xf numFmtId="0" fontId="59" fillId="26" borderId="0" applyNumberFormat="0" applyBorder="0" applyAlignment="0" applyProtection="0"/>
    <xf numFmtId="0" fontId="60" fillId="27" borderId="1" applyNumberFormat="0" applyAlignment="0" applyProtection="0"/>
    <xf numFmtId="0" fontId="61" fillId="28" borderId="2" applyNumberFormat="0" applyAlignment="0" applyProtection="0"/>
    <xf numFmtId="165" fontId="11" fillId="0" borderId="0" applyFont="0" applyFill="0" applyBorder="0" applyAlignment="0" applyProtection="0"/>
    <xf numFmtId="41" fontId="11" fillId="0" borderId="0" applyFont="0" applyFill="0" applyBorder="0" applyAlignment="0" applyProtection="0"/>
    <xf numFmtId="174" fontId="11" fillId="0" borderId="0" applyFont="0" applyFill="0" applyBorder="0" applyAlignment="0" applyProtection="0"/>
    <xf numFmtId="16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6" fontId="11" fillId="0" borderId="0" applyFont="0" applyFill="0" applyBorder="0" applyAlignment="0" applyProtection="0"/>
    <xf numFmtId="16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4" fontId="11" fillId="0" borderId="0" applyFont="0" applyFill="0" applyBorder="0" applyAlignment="0" applyProtection="0"/>
    <xf numFmtId="171" fontId="11" fillId="0" borderId="0" applyFont="0" applyFill="0" applyBorder="0" applyAlignment="0" applyProtection="0"/>
    <xf numFmtId="173" fontId="11" fillId="0" borderId="0" applyFont="0" applyFill="0" applyBorder="0" applyAlignment="0" applyProtection="0"/>
    <xf numFmtId="177" fontId="11" fillId="0" borderId="0" applyFont="0" applyFill="0" applyBorder="0" applyAlignment="0" applyProtection="0"/>
    <xf numFmtId="166"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66"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5" fontId="11" fillId="0" borderId="0" applyFont="0" applyFill="0" applyBorder="0" applyAlignment="0" applyProtection="0"/>
    <xf numFmtId="166"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66"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66"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66"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66"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68" fontId="91" fillId="0" borderId="0"/>
    <xf numFmtId="0" fontId="62" fillId="0" borderId="0" applyNumberFormat="0" applyFill="0" applyBorder="0" applyAlignment="0" applyProtection="0"/>
    <xf numFmtId="0" fontId="63" fillId="29" borderId="0" applyNumberFormat="0" applyBorder="0" applyAlignment="0" applyProtection="0"/>
    <xf numFmtId="0" fontId="64" fillId="0" borderId="3"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9" fillId="0" borderId="0" applyNumberFormat="0" applyFill="0" applyBorder="0">
      <protection locked="0"/>
    </xf>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protection locked="0"/>
    </xf>
    <xf numFmtId="0" fontId="67" fillId="0" borderId="0" applyNumberFormat="0" applyFill="0" applyBorder="0">
      <protection locked="0"/>
    </xf>
    <xf numFmtId="0" fontId="69" fillId="0" borderId="0" applyNumberFormat="0" applyFill="0" applyBorder="0" applyAlignment="0" applyProtection="0"/>
    <xf numFmtId="0" fontId="9" fillId="0" borderId="0" applyNumberFormat="0" applyFill="0" applyBorder="0">
      <protection locked="0"/>
    </xf>
    <xf numFmtId="0" fontId="67" fillId="0" borderId="0" applyNumberFormat="0" applyFill="0" applyBorder="0">
      <protection locked="0"/>
    </xf>
    <xf numFmtId="0" fontId="70" fillId="30" borderId="1" applyNumberFormat="0" applyAlignment="0" applyProtection="0"/>
    <xf numFmtId="0" fontId="71" fillId="0" borderId="6" applyNumberFormat="0" applyFill="0" applyAlignment="0" applyProtection="0"/>
    <xf numFmtId="0" fontId="72" fillId="31" borderId="0" applyNumberFormat="0" applyBorder="0" applyAlignment="0" applyProtection="0"/>
    <xf numFmtId="168" fontId="3" fillId="0" borderId="0"/>
    <xf numFmtId="0" fontId="91" fillId="0" borderId="0"/>
    <xf numFmtId="0" fontId="91" fillId="0" borderId="0"/>
    <xf numFmtId="168" fontId="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 fillId="0" borderId="0"/>
    <xf numFmtId="0" fontId="3" fillId="0" borderId="0"/>
    <xf numFmtId="0" fontId="3" fillId="0" borderId="0"/>
    <xf numFmtId="168" fontId="3" fillId="0" borderId="0"/>
    <xf numFmtId="0" fontId="8" fillId="0" borderId="0"/>
    <xf numFmtId="168" fontId="91" fillId="0" borderId="0"/>
    <xf numFmtId="0" fontId="56" fillId="0" borderId="0"/>
    <xf numFmtId="0" fontId="56" fillId="0" borderId="0"/>
    <xf numFmtId="168" fontId="8" fillId="0" borderId="0"/>
    <xf numFmtId="0" fontId="56" fillId="0" borderId="0"/>
    <xf numFmtId="0" fontId="8" fillId="0" borderId="0"/>
    <xf numFmtId="0" fontId="56" fillId="0" borderId="0"/>
    <xf numFmtId="0" fontId="73" fillId="0" borderId="0">
      <alignment vertical="center"/>
    </xf>
    <xf numFmtId="168" fontId="3" fillId="0" borderId="0"/>
    <xf numFmtId="0" fontId="74" fillId="0" borderId="0"/>
    <xf numFmtId="0" fontId="56" fillId="0" borderId="0"/>
    <xf numFmtId="0" fontId="91" fillId="0" borderId="0"/>
    <xf numFmtId="0" fontId="74" fillId="0" borderId="0"/>
    <xf numFmtId="0" fontId="56" fillId="0" borderId="0"/>
    <xf numFmtId="0" fontId="56" fillId="0" borderId="0"/>
    <xf numFmtId="0" fontId="56" fillId="0" borderId="0"/>
    <xf numFmtId="0" fontId="56" fillId="0" borderId="0"/>
    <xf numFmtId="0" fontId="56" fillId="0" borderId="0"/>
    <xf numFmtId="0" fontId="91" fillId="0" borderId="0"/>
    <xf numFmtId="0" fontId="56" fillId="0" borderId="0"/>
    <xf numFmtId="0" fontId="91" fillId="0" borderId="0"/>
    <xf numFmtId="0" fontId="5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74" fillId="0" borderId="0"/>
    <xf numFmtId="0" fontId="74" fillId="0" borderId="0"/>
    <xf numFmtId="0" fontId="5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56" fillId="0" borderId="0"/>
    <xf numFmtId="0" fontId="56" fillId="0" borderId="0"/>
    <xf numFmtId="168" fontId="3" fillId="0" borderId="0"/>
    <xf numFmtId="168" fontId="3" fillId="0" borderId="0"/>
    <xf numFmtId="0" fontId="75" fillId="0" borderId="0"/>
    <xf numFmtId="0" fontId="91" fillId="0" borderId="0"/>
    <xf numFmtId="0" fontId="11" fillId="0" borderId="0"/>
    <xf numFmtId="0" fontId="56" fillId="32" borderId="7" applyNumberFormat="0" applyFont="0" applyAlignment="0" applyProtection="0"/>
    <xf numFmtId="0" fontId="76" fillId="27" borderId="8" applyNumberFormat="0" applyAlignment="0" applyProtection="0"/>
    <xf numFmtId="9" fontId="11" fillId="0" borderId="0" applyFont="0" applyFill="0" applyBorder="0" applyAlignment="0" applyProtection="0"/>
    <xf numFmtId="0" fontId="9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 fillId="0" borderId="0"/>
    <xf numFmtId="0" fontId="77" fillId="0" borderId="0" applyNumberFormat="0" applyFill="0" applyBorder="0" applyAlignment="0" applyProtection="0"/>
    <xf numFmtId="0" fontId="78" fillId="0" borderId="9" applyNumberFormat="0" applyFill="0" applyAlignment="0" applyProtection="0"/>
    <xf numFmtId="0" fontId="79" fillId="0" borderId="0" applyNumberFormat="0" applyFill="0" applyBorder="0" applyAlignment="0" applyProtection="0"/>
    <xf numFmtId="168" fontId="11" fillId="0" borderId="0"/>
    <xf numFmtId="0" fontId="91" fillId="0" borderId="0"/>
    <xf numFmtId="0" fontId="91" fillId="0" borderId="0"/>
    <xf numFmtId="0" fontId="91" fillId="0" borderId="0"/>
    <xf numFmtId="168" fontId="91" fillId="0" borderId="0"/>
    <xf numFmtId="0" fontId="2" fillId="0" borderId="0"/>
    <xf numFmtId="0" fontId="1" fillId="0" borderId="0"/>
  </cellStyleXfs>
  <cellXfs count="449">
    <xf numFmtId="0" fontId="0" fillId="0" borderId="0" xfId="0"/>
    <xf numFmtId="0" fontId="16" fillId="33" borderId="10" xfId="0" applyFont="1" applyFill="1" applyBorder="1" applyAlignment="1" applyProtection="1">
      <alignment horizontal="center" vertical="center"/>
    </xf>
    <xf numFmtId="0" fontId="26" fillId="33" borderId="11" xfId="570" applyFont="1" applyFill="1" applyBorder="1" applyAlignment="1">
      <alignment horizontal="center" vertical="top" wrapText="1"/>
    </xf>
    <xf numFmtId="0" fontId="0" fillId="33" borderId="0" xfId="0" applyFill="1"/>
    <xf numFmtId="0" fontId="12" fillId="33" borderId="0" xfId="0" applyFont="1" applyFill="1" applyBorder="1" applyAlignment="1">
      <alignment horizontal="center" vertical="center"/>
    </xf>
    <xf numFmtId="0" fontId="0" fillId="33" borderId="0" xfId="0" applyFont="1" applyFill="1" applyBorder="1"/>
    <xf numFmtId="0" fontId="10" fillId="33" borderId="0" xfId="0" applyFont="1" applyFill="1" applyBorder="1"/>
    <xf numFmtId="0" fontId="15"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2" fillId="33" borderId="0" xfId="0" applyFont="1" applyFill="1" applyBorder="1" applyAlignment="1" applyProtection="1">
      <alignment vertical="center"/>
    </xf>
    <xf numFmtId="0" fontId="18" fillId="33" borderId="0" xfId="0" applyFont="1" applyFill="1" applyBorder="1" applyAlignment="1" applyProtection="1">
      <alignment horizontal="left" wrapText="1"/>
    </xf>
    <xf numFmtId="0" fontId="16" fillId="33" borderId="0" xfId="0" applyFont="1" applyFill="1" applyBorder="1" applyAlignment="1" applyProtection="1">
      <alignment vertical="center"/>
    </xf>
    <xf numFmtId="0" fontId="16" fillId="33" borderId="0" xfId="0" applyFont="1" applyFill="1" applyBorder="1" applyAlignment="1" applyProtection="1">
      <alignment horizontal="center" vertical="center"/>
    </xf>
    <xf numFmtId="0" fontId="0" fillId="33" borderId="0" xfId="0" applyFill="1" applyAlignment="1" applyProtection="1">
      <alignment vertical="top"/>
    </xf>
    <xf numFmtId="0" fontId="10" fillId="33" borderId="0" xfId="0" applyFont="1" applyFill="1" applyBorder="1" applyProtection="1">
      <protection hidden="1"/>
    </xf>
    <xf numFmtId="0" fontId="12" fillId="33" borderId="0" xfId="0" applyFont="1" applyFill="1" applyBorder="1" applyAlignment="1" applyProtection="1">
      <alignment horizontal="center" vertical="top"/>
      <protection hidden="1"/>
    </xf>
    <xf numFmtId="0" fontId="12" fillId="33" borderId="0" xfId="0" applyFont="1" applyFill="1" applyBorder="1" applyAlignment="1" applyProtection="1">
      <alignment vertical="center"/>
      <protection hidden="1"/>
    </xf>
    <xf numFmtId="0" fontId="16"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5" fillId="33" borderId="0" xfId="0" applyFont="1" applyFill="1" applyBorder="1" applyAlignment="1" applyProtection="1">
      <alignment horizontal="right" vertical="center"/>
      <protection hidden="1"/>
    </xf>
    <xf numFmtId="0" fontId="0" fillId="0" borderId="0" xfId="0" applyAlignment="1"/>
    <xf numFmtId="0" fontId="12" fillId="33" borderId="15" xfId="0" applyFont="1" applyFill="1" applyBorder="1" applyAlignment="1" applyProtection="1">
      <alignment vertical="center" wrapText="1"/>
      <protection hidden="1"/>
    </xf>
    <xf numFmtId="0" fontId="12" fillId="33" borderId="16" xfId="0" applyFont="1" applyFill="1" applyBorder="1" applyAlignment="1" applyProtection="1">
      <alignment vertical="center" wrapText="1"/>
      <protection hidden="1"/>
    </xf>
    <xf numFmtId="0" fontId="12" fillId="33" borderId="17" xfId="0" applyFont="1" applyFill="1" applyBorder="1" applyAlignment="1" applyProtection="1">
      <alignment vertical="center" wrapText="1"/>
      <protection hidden="1"/>
    </xf>
    <xf numFmtId="0" fontId="12"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6" fillId="33" borderId="18" xfId="570" applyFont="1" applyFill="1" applyBorder="1" applyAlignment="1">
      <alignment vertical="top" wrapText="1"/>
    </xf>
    <xf numFmtId="0" fontId="10" fillId="33" borderId="0" xfId="0" applyFont="1" applyFill="1" applyBorder="1" applyAlignment="1"/>
    <xf numFmtId="168" fontId="26" fillId="33" borderId="18" xfId="570" applyNumberFormat="1" applyFont="1" applyFill="1" applyBorder="1" applyAlignment="1">
      <alignment horizontal="center" vertical="top" wrapText="1"/>
    </xf>
    <xf numFmtId="0" fontId="12" fillId="33" borderId="0" xfId="0" applyFont="1" applyFill="1" applyBorder="1" applyAlignment="1">
      <alignment horizontal="left"/>
    </xf>
    <xf numFmtId="0" fontId="15" fillId="33" borderId="0" xfId="0" applyFont="1" applyFill="1" applyBorder="1" applyAlignment="1">
      <alignment horizontal="left"/>
    </xf>
    <xf numFmtId="0" fontId="38" fillId="33" borderId="19" xfId="570" applyFont="1" applyFill="1" applyBorder="1" applyAlignment="1">
      <alignment horizontal="center" vertical="center" wrapText="1"/>
    </xf>
    <xf numFmtId="0" fontId="38"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2" fillId="33" borderId="21" xfId="0" applyFont="1" applyFill="1" applyBorder="1" applyAlignment="1" applyProtection="1">
      <alignment vertical="center"/>
    </xf>
    <xf numFmtId="0" fontId="4" fillId="33" borderId="16" xfId="0" applyFont="1" applyFill="1" applyBorder="1" applyAlignment="1" applyProtection="1">
      <alignment vertical="center"/>
    </xf>
    <xf numFmtId="0" fontId="19" fillId="33" borderId="22" xfId="0" applyFont="1" applyFill="1" applyBorder="1" applyAlignment="1" applyProtection="1">
      <alignment horizontal="center" vertical="center"/>
      <protection locked="0" hidden="1"/>
    </xf>
    <xf numFmtId="0" fontId="12" fillId="33" borderId="23" xfId="0" applyFont="1" applyFill="1" applyBorder="1" applyAlignment="1" applyProtection="1">
      <alignment vertical="center"/>
    </xf>
    <xf numFmtId="0" fontId="4" fillId="33" borderId="24" xfId="0" applyFont="1" applyFill="1" applyBorder="1" applyAlignment="1" applyProtection="1">
      <alignment vertical="center"/>
    </xf>
    <xf numFmtId="0" fontId="15" fillId="33" borderId="22" xfId="0" applyFont="1" applyFill="1" applyBorder="1" applyAlignment="1" applyProtection="1">
      <alignment horizontal="right" vertical="center"/>
      <protection hidden="1"/>
    </xf>
    <xf numFmtId="0" fontId="12" fillId="33" borderId="15" xfId="0" applyFont="1" applyFill="1" applyBorder="1" applyAlignment="1" applyProtection="1">
      <alignment vertical="center"/>
    </xf>
    <xf numFmtId="0" fontId="12" fillId="33" borderId="25" xfId="0" applyFont="1" applyFill="1" applyBorder="1" applyAlignment="1" applyProtection="1">
      <alignment vertical="center"/>
    </xf>
    <xf numFmtId="0" fontId="4" fillId="33" borderId="26" xfId="0" applyFont="1" applyFill="1" applyBorder="1" applyAlignment="1" applyProtection="1">
      <alignment vertical="center"/>
    </xf>
    <xf numFmtId="0" fontId="15" fillId="33" borderId="27" xfId="0" applyFont="1" applyFill="1" applyBorder="1" applyAlignment="1" applyProtection="1">
      <alignment wrapText="1"/>
      <protection hidden="1"/>
    </xf>
    <xf numFmtId="0" fontId="0" fillId="34" borderId="19" xfId="0" applyFill="1" applyBorder="1" applyProtection="1"/>
    <xf numFmtId="0" fontId="15" fillId="33" borderId="28" xfId="0" applyFont="1" applyFill="1" applyBorder="1" applyAlignment="1" applyProtection="1">
      <alignment horizontal="right" vertical="center"/>
      <protection hidden="1"/>
    </xf>
    <xf numFmtId="0" fontId="31" fillId="33" borderId="0" xfId="0" applyFont="1" applyFill="1" applyBorder="1" applyAlignment="1" applyProtection="1">
      <alignment horizontal="right" vertical="center"/>
    </xf>
    <xf numFmtId="0" fontId="32" fillId="33" borderId="0" xfId="0" applyFont="1" applyFill="1" applyBorder="1" applyAlignment="1" applyProtection="1">
      <alignment vertical="center"/>
    </xf>
    <xf numFmtId="0" fontId="12" fillId="33" borderId="29" xfId="0" applyFont="1" applyFill="1" applyBorder="1" applyAlignment="1" applyProtection="1">
      <alignment vertical="center"/>
    </xf>
    <xf numFmtId="0" fontId="32" fillId="33" borderId="27" xfId="0" applyFont="1" applyFill="1" applyBorder="1" applyAlignment="1" applyProtection="1">
      <alignment vertical="center"/>
    </xf>
    <xf numFmtId="0" fontId="12" fillId="33" borderId="30" xfId="0" applyFont="1" applyFill="1" applyBorder="1" applyAlignment="1" applyProtection="1">
      <alignment vertical="center"/>
    </xf>
    <xf numFmtId="2" fontId="15" fillId="33" borderId="10" xfId="0" applyNumberFormat="1" applyFont="1" applyFill="1" applyBorder="1" applyAlignment="1" applyProtection="1">
      <alignment horizontal="left" wrapText="1"/>
      <protection hidden="1"/>
    </xf>
    <xf numFmtId="0" fontId="15" fillId="33" borderId="28" xfId="0" applyFont="1" applyFill="1" applyBorder="1" applyAlignment="1" applyProtection="1">
      <alignment horizontal="left"/>
      <protection hidden="1"/>
    </xf>
    <xf numFmtId="0" fontId="16" fillId="33" borderId="10" xfId="0" applyFont="1" applyFill="1" applyBorder="1" applyAlignment="1" applyProtection="1">
      <alignment horizontal="left" vertical="center"/>
    </xf>
    <xf numFmtId="0" fontId="4" fillId="33" borderId="31" xfId="0" applyFont="1" applyFill="1" applyBorder="1" applyAlignment="1" applyProtection="1">
      <alignment vertical="center"/>
    </xf>
    <xf numFmtId="0" fontId="16" fillId="33" borderId="22" xfId="0" applyFont="1" applyFill="1" applyBorder="1" applyAlignment="1" applyProtection="1">
      <alignment vertical="center" wrapText="1"/>
      <protection hidden="1"/>
    </xf>
    <xf numFmtId="0" fontId="16" fillId="33" borderId="21" xfId="0" applyFont="1" applyFill="1" applyBorder="1" applyAlignment="1" applyProtection="1">
      <alignment vertical="center"/>
    </xf>
    <xf numFmtId="0" fontId="16" fillId="33" borderId="10" xfId="0" applyFont="1" applyFill="1" applyBorder="1" applyAlignment="1" applyProtection="1">
      <alignment vertical="center" wrapText="1"/>
      <protection hidden="1"/>
    </xf>
    <xf numFmtId="2" fontId="17" fillId="33" borderId="10" xfId="0" applyNumberFormat="1" applyFont="1" applyFill="1" applyBorder="1" applyAlignment="1" applyProtection="1">
      <alignment horizontal="left" wrapText="1"/>
      <protection hidden="1"/>
    </xf>
    <xf numFmtId="0" fontId="16" fillId="33" borderId="10" xfId="0" applyFont="1" applyFill="1" applyBorder="1" applyAlignment="1" applyProtection="1">
      <alignment vertical="center"/>
    </xf>
    <xf numFmtId="0" fontId="16" fillId="33" borderId="10" xfId="0" applyFont="1" applyFill="1" applyBorder="1" applyAlignment="1" applyProtection="1">
      <alignment horizontal="center" vertical="center" wrapText="1"/>
      <protection hidden="1"/>
    </xf>
    <xf numFmtId="0" fontId="4" fillId="33" borderId="17" xfId="0" applyFont="1" applyFill="1" applyBorder="1" applyAlignment="1" applyProtection="1">
      <alignment vertical="center"/>
    </xf>
    <xf numFmtId="0" fontId="5" fillId="33" borderId="22" xfId="0" applyFont="1" applyFill="1" applyBorder="1" applyAlignment="1" applyProtection="1">
      <alignment horizontal="left" vertical="top" wrapText="1"/>
      <protection hidden="1"/>
    </xf>
    <xf numFmtId="0" fontId="10" fillId="0" borderId="0" xfId="589" applyFont="1" applyFill="1" applyAlignment="1" applyProtection="1"/>
    <xf numFmtId="0" fontId="91" fillId="0" borderId="0" xfId="589"/>
    <xf numFmtId="0" fontId="23" fillId="0" borderId="0" xfId="487" applyFont="1" applyFill="1" applyAlignment="1" applyProtection="1">
      <alignment horizontal="center"/>
      <protection hidden="1"/>
    </xf>
    <xf numFmtId="0" fontId="23" fillId="0" borderId="0" xfId="487" applyFont="1" applyFill="1" applyAlignment="1" applyProtection="1">
      <alignment horizontal="center" wrapText="1"/>
      <protection hidden="1"/>
    </xf>
    <xf numFmtId="0" fontId="5" fillId="0" borderId="0" xfId="0" applyFont="1" applyAlignment="1" applyProtection="1">
      <alignment horizontal="center"/>
      <protection hidden="1"/>
    </xf>
    <xf numFmtId="0" fontId="27"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5" fillId="33" borderId="27" xfId="0" applyFont="1" applyFill="1" applyBorder="1" applyAlignment="1" applyProtection="1">
      <alignment horizontal="center" wrapText="1"/>
      <protection hidden="1"/>
    </xf>
    <xf numFmtId="0" fontId="15"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2" fillId="33" borderId="33" xfId="0" applyFont="1" applyFill="1" applyBorder="1" applyAlignment="1" applyProtection="1">
      <alignment vertical="center"/>
      <protection hidden="1"/>
    </xf>
    <xf numFmtId="0" fontId="12" fillId="33" borderId="21" xfId="0" applyFont="1" applyFill="1" applyBorder="1" applyAlignment="1" applyProtection="1">
      <alignment vertical="center"/>
      <protection hidden="1"/>
    </xf>
    <xf numFmtId="0" fontId="12" fillId="33" borderId="34" xfId="0" applyFont="1" applyFill="1" applyBorder="1" applyAlignment="1" applyProtection="1">
      <alignment vertical="center"/>
      <protection hidden="1"/>
    </xf>
    <xf numFmtId="0" fontId="15" fillId="33" borderId="0" xfId="0" applyFont="1" applyFill="1" applyBorder="1" applyAlignment="1" applyProtection="1">
      <alignment wrapText="1"/>
      <protection hidden="1"/>
    </xf>
    <xf numFmtId="0" fontId="12" fillId="33" borderId="0" xfId="0" applyFont="1" applyFill="1" applyBorder="1" applyAlignment="1" applyProtection="1">
      <alignment horizontal="left" vertical="center"/>
      <protection hidden="1"/>
    </xf>
    <xf numFmtId="2" fontId="15" fillId="33" borderId="28" xfId="0" applyNumberFormat="1" applyFont="1" applyFill="1" applyBorder="1" applyAlignment="1" applyProtection="1">
      <alignment horizontal="left" vertical="center" wrapText="1"/>
      <protection hidden="1"/>
    </xf>
    <xf numFmtId="0" fontId="16" fillId="33" borderId="10" xfId="0" applyFont="1" applyFill="1" applyBorder="1" applyAlignment="1" applyProtection="1">
      <alignment horizontal="left" vertical="center"/>
      <protection hidden="1"/>
    </xf>
    <xf numFmtId="0" fontId="18" fillId="33" borderId="27" xfId="0" applyFont="1" applyFill="1" applyBorder="1" applyAlignment="1" applyProtection="1">
      <alignment horizontal="left" vertical="center" wrapText="1"/>
      <protection hidden="1"/>
    </xf>
    <xf numFmtId="0" fontId="31" fillId="33" borderId="0" xfId="0" applyFont="1" applyFill="1" applyBorder="1" applyAlignment="1" applyProtection="1">
      <alignment horizontal="right" vertical="center"/>
      <protection hidden="1"/>
    </xf>
    <xf numFmtId="0" fontId="16" fillId="33" borderId="28" xfId="0" applyFont="1" applyFill="1" applyBorder="1" applyAlignment="1" applyProtection="1">
      <alignment horizontal="center" vertical="center"/>
      <protection hidden="1"/>
    </xf>
    <xf numFmtId="0" fontId="16" fillId="33" borderId="28" xfId="0" applyFont="1" applyFill="1" applyBorder="1" applyAlignment="1" applyProtection="1">
      <alignment horizontal="left" vertical="center"/>
      <protection hidden="1"/>
    </xf>
    <xf numFmtId="0" fontId="16" fillId="33" borderId="0" xfId="0" applyFont="1" applyFill="1" applyBorder="1" applyAlignment="1" applyProtection="1">
      <alignment horizontal="center" vertical="center"/>
      <protection hidden="1"/>
    </xf>
    <xf numFmtId="0" fontId="16"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9"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9"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9" fillId="0" borderId="19" xfId="487" applyFill="1" applyBorder="1" applyAlignment="1" applyProtection="1">
      <alignment vertical="center" wrapText="1"/>
      <protection hidden="1"/>
    </xf>
    <xf numFmtId="0" fontId="16" fillId="33" borderId="22" xfId="0" applyFont="1" applyFill="1" applyBorder="1" applyAlignment="1" applyProtection="1">
      <alignment horizontal="left" vertical="center" wrapText="1"/>
      <protection locked="0"/>
    </xf>
    <xf numFmtId="0" fontId="36" fillId="0" borderId="0" xfId="0" applyFont="1" applyFill="1" applyBorder="1" applyAlignment="1" applyProtection="1">
      <alignment vertical="center" wrapText="1"/>
      <protection hidden="1"/>
    </xf>
    <xf numFmtId="0" fontId="0" fillId="0" borderId="0" xfId="0" applyFill="1"/>
    <xf numFmtId="0" fontId="6" fillId="0" borderId="0" xfId="0" applyFont="1" applyAlignment="1">
      <alignment wrapText="1"/>
    </xf>
    <xf numFmtId="0" fontId="6" fillId="0" borderId="0" xfId="0" applyFont="1"/>
    <xf numFmtId="0" fontId="0" fillId="0" borderId="0" xfId="0" applyFill="1" applyProtection="1">
      <protection hidden="1"/>
    </xf>
    <xf numFmtId="49" fontId="0" fillId="0" borderId="0" xfId="0" applyNumberFormat="1" applyFill="1" applyProtection="1">
      <protection hidden="1"/>
    </xf>
    <xf numFmtId="0" fontId="37" fillId="0" borderId="0" xfId="0" applyFont="1" applyFill="1" applyProtection="1">
      <protection hidden="1"/>
    </xf>
    <xf numFmtId="0" fontId="0" fillId="0" borderId="0" xfId="0" applyFont="1" applyFill="1" applyBorder="1"/>
    <xf numFmtId="0" fontId="0" fillId="0" borderId="0" xfId="0" applyFont="1" applyFill="1" applyBorder="1"/>
    <xf numFmtId="0" fontId="5" fillId="0" borderId="35" xfId="0" applyNumberFormat="1" applyFont="1" applyFill="1" applyBorder="1" applyAlignment="1" applyProtection="1">
      <alignment vertical="center" wrapText="1"/>
      <protection hidden="1"/>
    </xf>
    <xf numFmtId="0" fontId="23" fillId="0" borderId="35" xfId="487" applyFont="1" applyBorder="1" applyAlignment="1" applyProtection="1">
      <alignment horizontal="center"/>
      <protection hidden="1"/>
    </xf>
    <xf numFmtId="0" fontId="5" fillId="0" borderId="36" xfId="0" applyNumberFormat="1" applyFont="1" applyFill="1" applyBorder="1" applyAlignment="1" applyProtection="1">
      <alignment vertical="center" wrapText="1"/>
      <protection hidden="1"/>
    </xf>
    <xf numFmtId="0" fontId="34" fillId="0" borderId="35" xfId="0" applyNumberFormat="1" applyFont="1" applyFill="1" applyBorder="1" applyAlignment="1" applyProtection="1">
      <alignment vertical="center" wrapText="1"/>
      <protection hidden="1"/>
    </xf>
    <xf numFmtId="0" fontId="6" fillId="35" borderId="35" xfId="0" applyFont="1" applyFill="1" applyBorder="1" applyAlignment="1" applyProtection="1">
      <alignment wrapText="1"/>
      <protection hidden="1"/>
    </xf>
    <xf numFmtId="0" fontId="6" fillId="35" borderId="35" xfId="0" applyFont="1" applyFill="1" applyBorder="1" applyAlignment="1" applyProtection="1">
      <protection hidden="1"/>
    </xf>
    <xf numFmtId="0" fontId="6" fillId="0" borderId="0" xfId="0" applyFont="1" applyFill="1"/>
    <xf numFmtId="0" fontId="6" fillId="0" borderId="0" xfId="0" applyFont="1" applyFill="1" applyAlignment="1">
      <alignment wrapText="1"/>
    </xf>
    <xf numFmtId="0" fontId="6"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30" fillId="0" borderId="0" xfId="0" applyFont="1" applyFill="1" applyAlignment="1" applyProtection="1">
      <alignment horizontal="center" wrapText="1"/>
    </xf>
    <xf numFmtId="0" fontId="6" fillId="0" borderId="15" xfId="0" applyFont="1" applyFill="1" applyBorder="1" applyAlignment="1" applyProtection="1">
      <alignment wrapText="1"/>
    </xf>
    <xf numFmtId="0" fontId="0" fillId="0" borderId="0" xfId="0" applyFill="1" applyAlignment="1" applyProtection="1">
      <alignment vertical="top" wrapText="1"/>
    </xf>
    <xf numFmtId="0" fontId="6" fillId="0" borderId="15" xfId="0" applyFont="1" applyFill="1" applyBorder="1" applyAlignment="1" applyProtection="1">
      <alignment vertical="top" wrapText="1"/>
    </xf>
    <xf numFmtId="0" fontId="6" fillId="0" borderId="0" xfId="0" applyFont="1" applyFill="1" applyAlignment="1" applyProtection="1">
      <alignment wrapText="1"/>
    </xf>
    <xf numFmtId="0" fontId="5" fillId="0" borderId="0" xfId="0" applyFont="1" applyFill="1" applyAlignment="1" applyProtection="1">
      <alignment wrapText="1"/>
    </xf>
    <xf numFmtId="0" fontId="6" fillId="0" borderId="0" xfId="0" applyFont="1" applyFill="1" applyAlignment="1" applyProtection="1">
      <alignment horizontal="center" wrapText="1"/>
    </xf>
    <xf numFmtId="0" fontId="30" fillId="0" borderId="15" xfId="0" applyFont="1" applyFill="1" applyBorder="1" applyAlignment="1" applyProtection="1">
      <alignment wrapText="1"/>
    </xf>
    <xf numFmtId="0" fontId="33" fillId="0" borderId="0" xfId="0" applyFont="1" applyFill="1" applyBorder="1" applyAlignment="1" applyProtection="1">
      <alignment horizontal="right" wrapText="1"/>
    </xf>
    <xf numFmtId="0" fontId="0" fillId="34" borderId="19" xfId="0" applyFill="1" applyBorder="1"/>
    <xf numFmtId="0" fontId="35" fillId="33" borderId="14"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2" fillId="33" borderId="0" xfId="0" applyFont="1" applyFill="1" applyBorder="1" applyAlignment="1" applyProtection="1">
      <alignment horizontal="center" vertical="center" wrapText="1"/>
      <protection hidden="1"/>
    </xf>
    <xf numFmtId="49" fontId="16"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9" fillId="0" borderId="0" xfId="487" applyFill="1" applyAlignment="1" applyProtection="1">
      <alignment horizontal="center"/>
      <protection hidden="1"/>
    </xf>
    <xf numFmtId="0" fontId="42" fillId="33" borderId="33" xfId="487" applyFont="1" applyFill="1" applyBorder="1" applyAlignment="1" applyProtection="1">
      <alignment horizontal="left" vertical="center"/>
      <protection hidden="1"/>
    </xf>
    <xf numFmtId="0" fontId="43" fillId="33" borderId="0" xfId="487" applyFont="1" applyFill="1" applyAlignment="1" applyProtection="1">
      <alignment vertical="center"/>
    </xf>
    <xf numFmtId="0" fontId="43" fillId="33" borderId="0" xfId="487" applyFont="1" applyFill="1" applyBorder="1" applyAlignment="1" applyProtection="1">
      <alignment horizontal="center" vertical="center"/>
      <protection hidden="1"/>
    </xf>
    <xf numFmtId="0" fontId="44" fillId="0" borderId="27" xfId="487" applyFont="1" applyFill="1" applyBorder="1" applyAlignment="1" applyProtection="1">
      <alignment horizontal="center"/>
      <protection hidden="1"/>
    </xf>
    <xf numFmtId="0" fontId="46" fillId="33" borderId="38" xfId="0" applyFont="1" applyFill="1" applyBorder="1" applyAlignment="1" applyProtection="1">
      <alignment horizontal="center" vertical="center" wrapText="1"/>
      <protection hidden="1"/>
    </xf>
    <xf numFmtId="0" fontId="46" fillId="33" borderId="0" xfId="0" applyFont="1" applyFill="1" applyBorder="1" applyAlignment="1" applyProtection="1">
      <alignment horizontal="center" vertical="center" wrapText="1"/>
      <protection hidden="1"/>
    </xf>
    <xf numFmtId="0" fontId="12" fillId="33" borderId="39" xfId="0" applyFont="1" applyFill="1" applyBorder="1" applyAlignment="1" applyProtection="1">
      <alignment vertical="center" wrapText="1"/>
      <protection locked="0"/>
    </xf>
    <xf numFmtId="0" fontId="12" fillId="33" borderId="40" xfId="0" applyFont="1" applyFill="1" applyBorder="1" applyAlignment="1" applyProtection="1">
      <alignment vertical="center" wrapText="1"/>
      <protection locked="0"/>
    </xf>
    <xf numFmtId="0" fontId="12" fillId="33" borderId="32" xfId="0" applyFont="1" applyFill="1" applyBorder="1" applyAlignment="1" applyProtection="1">
      <alignment vertical="center" wrapText="1"/>
      <protection locked="0"/>
    </xf>
    <xf numFmtId="0" fontId="15" fillId="33" borderId="15" xfId="0" applyFont="1" applyFill="1" applyBorder="1" applyAlignment="1" applyProtection="1">
      <alignment horizontal="center" wrapText="1"/>
      <protection locked="0"/>
    </xf>
    <xf numFmtId="0" fontId="15" fillId="33" borderId="27" xfId="0" applyFont="1" applyFill="1" applyBorder="1" applyAlignment="1" applyProtection="1">
      <alignment horizontal="left" vertical="center" wrapText="1"/>
      <protection hidden="1"/>
    </xf>
    <xf numFmtId="0" fontId="15" fillId="33" borderId="41" xfId="0" applyFont="1" applyFill="1" applyBorder="1" applyAlignment="1" applyProtection="1">
      <alignment horizontal="center" wrapText="1"/>
      <protection hidden="1"/>
    </xf>
    <xf numFmtId="0" fontId="12" fillId="33" borderId="38" xfId="0" applyFont="1" applyFill="1" applyBorder="1" applyAlignment="1" applyProtection="1">
      <alignment vertical="center"/>
      <protection hidden="1"/>
    </xf>
    <xf numFmtId="0" fontId="37" fillId="33" borderId="15" xfId="0" applyFont="1" applyFill="1" applyBorder="1" applyAlignment="1" applyProtection="1">
      <alignment vertical="top" wrapText="1"/>
    </xf>
    <xf numFmtId="0" fontId="19" fillId="33" borderId="29" xfId="0" applyFont="1" applyFill="1" applyBorder="1" applyAlignment="1" applyProtection="1">
      <alignment horizontal="right" wrapText="1"/>
      <protection hidden="1"/>
    </xf>
    <xf numFmtId="0" fontId="13" fillId="33" borderId="42" xfId="0" applyFont="1" applyFill="1" applyBorder="1" applyAlignment="1" applyProtection="1">
      <alignment vertical="center" wrapText="1"/>
    </xf>
    <xf numFmtId="0" fontId="5" fillId="33" borderId="22"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5" fillId="0" borderId="43" xfId="0" applyFont="1" applyFill="1" applyBorder="1" applyAlignment="1" applyProtection="1">
      <alignment horizontal="center"/>
      <protection hidden="1"/>
    </xf>
    <xf numFmtId="0" fontId="39" fillId="0" borderId="0" xfId="0" applyFont="1" applyProtection="1">
      <protection hidden="1"/>
    </xf>
    <xf numFmtId="2" fontId="26" fillId="33" borderId="11" xfId="570" applyNumberFormat="1" applyFont="1" applyFill="1" applyBorder="1" applyAlignment="1">
      <alignment horizontal="center" vertical="top" wrapText="1"/>
    </xf>
    <xf numFmtId="0" fontId="26" fillId="33" borderId="18" xfId="570" applyFont="1" applyFill="1" applyBorder="1" applyAlignment="1">
      <alignment horizontal="center" vertical="top" wrapText="1"/>
    </xf>
    <xf numFmtId="0" fontId="51" fillId="0" borderId="0" xfId="0" applyFont="1" applyFill="1" applyAlignment="1">
      <alignment vertical="top" wrapText="1"/>
    </xf>
    <xf numFmtId="0" fontId="51" fillId="0" borderId="0" xfId="527" applyFont="1" applyFill="1" applyAlignment="1">
      <alignment vertical="top" wrapText="1"/>
    </xf>
    <xf numFmtId="0" fontId="15" fillId="33" borderId="41" xfId="0" applyFont="1" applyFill="1" applyBorder="1" applyAlignment="1" applyProtection="1">
      <alignment horizontal="center" vertical="center" wrapText="1"/>
      <protection hidden="1"/>
    </xf>
    <xf numFmtId="0" fontId="15" fillId="33" borderId="44" xfId="0" applyFont="1" applyFill="1" applyBorder="1" applyAlignment="1" applyProtection="1">
      <alignment horizontal="center" vertical="center" wrapText="1"/>
      <protection hidden="1"/>
    </xf>
    <xf numFmtId="0" fontId="5"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50" fillId="0" borderId="0" xfId="0" applyFont="1" applyAlignment="1"/>
    <xf numFmtId="0" fontId="0" fillId="36" borderId="0" xfId="0" applyFill="1" applyProtection="1">
      <protection hidden="1"/>
    </xf>
    <xf numFmtId="0" fontId="26" fillId="0" borderId="19" xfId="0" applyFont="1" applyBorder="1" applyAlignment="1">
      <alignment vertical="top" wrapText="1"/>
    </xf>
    <xf numFmtId="170" fontId="26" fillId="33" borderId="11" xfId="570" applyNumberFormat="1" applyFont="1" applyFill="1" applyBorder="1" applyAlignment="1">
      <alignment horizontal="center" vertical="top" wrapText="1"/>
    </xf>
    <xf numFmtId="1" fontId="41" fillId="0" borderId="0" xfId="0" applyNumberFormat="1" applyFont="1" applyFill="1" applyAlignment="1" applyProtection="1">
      <alignment horizontal="center" vertical="center" wrapText="1"/>
      <protection hidden="1"/>
    </xf>
    <xf numFmtId="0" fontId="39" fillId="0" borderId="0" xfId="0" applyFont="1" applyFill="1" applyAlignment="1" applyProtection="1">
      <alignment horizontal="center" vertical="center" wrapText="1"/>
      <protection hidden="1"/>
    </xf>
    <xf numFmtId="0" fontId="0" fillId="0" borderId="45" xfId="0" applyFill="1" applyBorder="1"/>
    <xf numFmtId="0" fontId="80" fillId="11" borderId="0" xfId="0" applyFont="1" applyFill="1" applyProtection="1">
      <protection hidden="1"/>
    </xf>
    <xf numFmtId="0" fontId="0" fillId="0" borderId="0" xfId="0" applyFont="1" applyFill="1" applyAlignment="1">
      <alignment vertical="top"/>
    </xf>
    <xf numFmtId="0" fontId="54" fillId="0" borderId="0" xfId="0" applyFont="1" applyFill="1" applyBorder="1" applyAlignment="1">
      <alignment vertical="top" wrapText="1"/>
    </xf>
    <xf numFmtId="0" fontId="5" fillId="36" borderId="35" xfId="0" applyNumberFormat="1" applyFont="1" applyFill="1" applyBorder="1" applyAlignment="1" applyProtection="1">
      <alignment vertical="center" wrapText="1"/>
      <protection hidden="1"/>
    </xf>
    <xf numFmtId="0" fontId="12" fillId="33" borderId="46" xfId="0" applyFont="1" applyFill="1" applyBorder="1" applyAlignment="1" applyProtection="1">
      <alignment horizontal="center" vertical="center" wrapText="1"/>
      <protection hidden="1"/>
    </xf>
    <xf numFmtId="0" fontId="12"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6" fillId="33" borderId="19" xfId="570" applyNumberFormat="1" applyFont="1" applyFill="1" applyBorder="1" applyAlignment="1">
      <alignment horizontal="center" vertical="top" wrapText="1"/>
    </xf>
    <xf numFmtId="168" fontId="26" fillId="33" borderId="19" xfId="570" applyNumberFormat="1" applyFont="1" applyFill="1" applyBorder="1" applyAlignment="1">
      <alignment horizontal="center" vertical="top" wrapText="1"/>
    </xf>
    <xf numFmtId="0" fontId="81" fillId="36" borderId="19" xfId="0" applyFont="1" applyFill="1" applyBorder="1" applyAlignment="1" applyProtection="1">
      <alignment horizontal="left" vertical="center" wrapText="1"/>
      <protection hidden="1"/>
    </xf>
    <xf numFmtId="0" fontId="26" fillId="33" borderId="18" xfId="570" applyFont="1" applyFill="1" applyBorder="1" applyAlignment="1">
      <alignment vertical="center" wrapText="1"/>
    </xf>
    <xf numFmtId="0" fontId="26" fillId="33" borderId="48" xfId="570" applyFont="1" applyFill="1" applyBorder="1" applyAlignment="1">
      <alignment vertical="top" wrapText="1"/>
    </xf>
    <xf numFmtId="0" fontId="26" fillId="33" borderId="49" xfId="570" applyFont="1" applyFill="1" applyBorder="1" applyAlignment="1">
      <alignment vertical="top" wrapText="1"/>
    </xf>
    <xf numFmtId="0" fontId="7" fillId="0" borderId="11" xfId="0" applyFont="1" applyFill="1" applyBorder="1" applyAlignment="1" applyProtection="1">
      <alignment wrapText="1"/>
    </xf>
    <xf numFmtId="0" fontId="26" fillId="33" borderId="18" xfId="570" applyFont="1" applyFill="1" applyBorder="1" applyAlignment="1">
      <alignment horizontal="left" vertical="top" wrapText="1"/>
    </xf>
    <xf numFmtId="0" fontId="7" fillId="0" borderId="18" xfId="0" applyFont="1" applyFill="1" applyBorder="1" applyAlignment="1" applyProtection="1">
      <alignment vertical="top" wrapText="1"/>
    </xf>
    <xf numFmtId="0" fontId="26" fillId="33" borderId="19" xfId="570" applyFont="1" applyFill="1" applyBorder="1" applyAlignment="1">
      <alignment vertical="top" wrapText="1"/>
    </xf>
    <xf numFmtId="0" fontId="48" fillId="33" borderId="50" xfId="0" applyFont="1" applyFill="1" applyBorder="1" applyAlignment="1" applyProtection="1">
      <alignment horizontal="center" vertical="center" wrapText="1"/>
      <protection hidden="1"/>
    </xf>
    <xf numFmtId="0" fontId="48" fillId="0" borderId="51" xfId="0" applyFont="1" applyBorder="1" applyAlignment="1" applyProtection="1">
      <alignment horizontal="center" vertical="center" wrapText="1"/>
      <protection hidden="1"/>
    </xf>
    <xf numFmtId="0" fontId="36" fillId="0" borderId="52" xfId="0" applyFont="1" applyBorder="1" applyAlignment="1" applyProtection="1">
      <alignment vertical="center" wrapText="1"/>
      <protection hidden="1"/>
    </xf>
    <xf numFmtId="0" fontId="54" fillId="0" borderId="0" xfId="0" applyFont="1" applyFill="1" applyAlignment="1">
      <alignment horizontal="left" vertical="top" wrapText="1"/>
    </xf>
    <xf numFmtId="168" fontId="0" fillId="33" borderId="13" xfId="0" applyNumberFormat="1" applyFont="1" applyFill="1" applyBorder="1" applyAlignment="1">
      <alignment vertical="top" wrapText="1"/>
    </xf>
    <xf numFmtId="168" fontId="0" fillId="33" borderId="0" xfId="0" applyNumberFormat="1" applyFont="1" applyFill="1" applyBorder="1" applyAlignment="1"/>
    <xf numFmtId="168" fontId="10" fillId="33" borderId="0" xfId="0" applyNumberFormat="1" applyFont="1" applyFill="1" applyBorder="1"/>
    <xf numFmtId="168" fontId="15" fillId="33" borderId="0" xfId="0" applyNumberFormat="1" applyFont="1" applyFill="1" applyBorder="1" applyAlignment="1">
      <alignment horizontal="center" vertical="center" wrapText="1"/>
    </xf>
    <xf numFmtId="168" fontId="12" fillId="33" borderId="0" xfId="0" applyNumberFormat="1" applyFont="1" applyFill="1" applyBorder="1" applyAlignment="1">
      <alignment horizontal="center" vertical="center"/>
    </xf>
    <xf numFmtId="168" fontId="0" fillId="33" borderId="0" xfId="0" applyNumberFormat="1" applyFont="1" applyFill="1" applyBorder="1"/>
    <xf numFmtId="168" fontId="28" fillId="33" borderId="20" xfId="570" applyNumberFormat="1" applyFont="1" applyFill="1" applyBorder="1" applyAlignment="1">
      <alignment horizontal="center" vertical="center" wrapText="1"/>
    </xf>
    <xf numFmtId="168" fontId="0" fillId="0" borderId="0" xfId="0" applyNumberFormat="1" applyFont="1" applyFill="1" applyBorder="1"/>
    <xf numFmtId="168"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3" fillId="0" borderId="52" xfId="0" applyFont="1" applyBorder="1" applyAlignment="1" applyProtection="1">
      <alignment vertical="center" wrapText="1"/>
      <protection hidden="1"/>
    </xf>
    <xf numFmtId="9" fontId="16"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2" fillId="33" borderId="28" xfId="0" applyFont="1" applyFill="1" applyBorder="1" applyAlignment="1" applyProtection="1">
      <alignment vertical="center" wrapText="1"/>
      <protection hidden="1"/>
    </xf>
    <xf numFmtId="0" fontId="12" fillId="33" borderId="53" xfId="0" applyFont="1" applyFill="1" applyBorder="1" applyAlignment="1" applyProtection="1">
      <alignment vertical="center" wrapText="1"/>
      <protection hidden="1"/>
    </xf>
    <xf numFmtId="0" fontId="45" fillId="33" borderId="0" xfId="487" applyFont="1" applyFill="1" applyBorder="1" applyAlignment="1" applyProtection="1">
      <alignment horizontal="center" vertical="center" wrapText="1"/>
      <protection hidden="1"/>
    </xf>
    <xf numFmtId="0" fontId="12" fillId="33" borderId="54" xfId="0" applyFont="1" applyFill="1" applyBorder="1" applyAlignment="1" applyProtection="1">
      <alignment vertical="center" wrapText="1"/>
      <protection hidden="1"/>
    </xf>
    <xf numFmtId="0" fontId="12" fillId="33" borderId="0" xfId="0" applyFont="1" applyFill="1" applyBorder="1" applyAlignment="1" applyProtection="1">
      <alignment vertical="center" wrapText="1"/>
      <protection hidden="1"/>
    </xf>
    <xf numFmtId="0" fontId="47" fillId="33" borderId="0" xfId="0" applyFont="1" applyFill="1" applyBorder="1" applyAlignment="1" applyProtection="1">
      <alignment horizontal="center" vertical="center" wrapText="1"/>
      <protection hidden="1"/>
    </xf>
    <xf numFmtId="0" fontId="15" fillId="33" borderId="54"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Fill="1" applyBorder="1" applyAlignment="1" applyProtection="1">
      <alignment vertical="center" wrapText="1"/>
      <protection locked="0"/>
    </xf>
    <xf numFmtId="0" fontId="12" fillId="33" borderId="55" xfId="0" applyFont="1" applyFill="1" applyBorder="1" applyAlignment="1" applyProtection="1">
      <alignment vertical="center" wrapText="1"/>
    </xf>
    <xf numFmtId="170" fontId="26" fillId="33" borderId="19" xfId="570" applyNumberFormat="1" applyFont="1" applyFill="1" applyBorder="1" applyAlignment="1">
      <alignment horizontal="center" vertical="top" wrapText="1"/>
    </xf>
    <xf numFmtId="0" fontId="6" fillId="0" borderId="35" xfId="0" applyNumberFormat="1" applyFont="1" applyFill="1" applyBorder="1" applyAlignment="1" applyProtection="1">
      <alignment vertical="top" wrapText="1"/>
      <protection hidden="1"/>
    </xf>
    <xf numFmtId="9" fontId="82"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4" fillId="0" borderId="0" xfId="0" applyFont="1" applyFill="1" applyAlignment="1" applyProtection="1">
      <alignment vertical="top" wrapText="1"/>
      <protection hidden="1"/>
    </xf>
    <xf numFmtId="0" fontId="52"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50" fillId="0" borderId="0" xfId="0" applyFont="1" applyAlignment="1">
      <alignment vertical="top" wrapText="1"/>
    </xf>
    <xf numFmtId="0" fontId="52" fillId="0" borderId="0" xfId="0" applyFont="1" applyAlignment="1">
      <alignment vertical="top" wrapText="1"/>
    </xf>
    <xf numFmtId="9" fontId="50"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4" fillId="36" borderId="19" xfId="0" applyFont="1" applyFill="1" applyBorder="1" applyAlignment="1">
      <alignment vertical="center" wrapText="1"/>
    </xf>
    <xf numFmtId="0" fontId="54"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9" fillId="0" borderId="0" xfId="0" applyFont="1" applyFill="1" applyAlignment="1">
      <alignment vertical="top" wrapText="1"/>
    </xf>
    <xf numFmtId="0" fontId="15"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6" fillId="33" borderId="10" xfId="0" applyFont="1" applyFill="1" applyBorder="1" applyAlignment="1" applyProtection="1">
      <alignment vertical="center" wrapText="1"/>
    </xf>
    <xf numFmtId="0" fontId="15" fillId="33" borderId="38" xfId="0" applyFont="1" applyFill="1" applyBorder="1" applyAlignment="1" applyProtection="1">
      <alignment wrapText="1"/>
    </xf>
    <xf numFmtId="0" fontId="43"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2"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3" fillId="0" borderId="0" xfId="0" applyFont="1" applyAlignment="1" applyProtection="1">
      <alignment vertical="center" wrapText="1"/>
      <protection locked="0"/>
    </xf>
    <xf numFmtId="0" fontId="7" fillId="33" borderId="58" xfId="0" applyFont="1" applyFill="1" applyBorder="1" applyAlignment="1" applyProtection="1">
      <alignment horizontal="center" vertical="center" wrapText="1"/>
      <protection locked="0" hidden="1"/>
    </xf>
    <xf numFmtId="0" fontId="7"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8"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50" fillId="0" borderId="0" xfId="502" applyNumberFormat="1" applyFont="1" applyFill="1" applyAlignment="1">
      <alignment horizontal="left" vertical="top" wrapText="1"/>
    </xf>
    <xf numFmtId="0" fontId="27" fillId="36" borderId="19" xfId="0" applyFont="1" applyFill="1" applyBorder="1" applyAlignment="1">
      <alignment vertical="center" wrapText="1"/>
    </xf>
    <xf numFmtId="0" fontId="16" fillId="33" borderId="22" xfId="0" applyFont="1" applyFill="1" applyBorder="1" applyAlignment="1" applyProtection="1">
      <alignment horizontal="left" vertical="center" wrapText="1"/>
      <protection hidden="1"/>
    </xf>
    <xf numFmtId="0" fontId="54" fillId="0" borderId="0" xfId="0" applyFont="1" applyFill="1" applyAlignment="1">
      <alignment vertical="top" wrapText="1"/>
    </xf>
    <xf numFmtId="0" fontId="90"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4" fillId="0" borderId="0" xfId="0" applyFont="1" applyAlignment="1">
      <alignment vertical="top" wrapText="1"/>
    </xf>
    <xf numFmtId="0" fontId="0" fillId="33" borderId="59" xfId="0" applyFill="1" applyBorder="1" applyAlignment="1" applyProtection="1">
      <alignment vertical="center" wrapText="1"/>
      <protection locked="0"/>
    </xf>
    <xf numFmtId="0" fontId="50"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8" fontId="54" fillId="0" borderId="0" xfId="480" applyFont="1" applyFill="1" applyAlignment="1">
      <alignment horizontal="left" vertical="top" wrapText="1"/>
    </xf>
    <xf numFmtId="168" fontId="50" fillId="0" borderId="0" xfId="480" applyFont="1" applyFill="1" applyAlignment="1">
      <alignment vertical="top" wrapText="1"/>
    </xf>
    <xf numFmtId="0" fontId="82" fillId="0" borderId="0" xfId="502" applyNumberFormat="1" applyFont="1" applyFill="1" applyAlignment="1">
      <alignment horizontal="left" vertical="top" wrapText="1"/>
    </xf>
    <xf numFmtId="0" fontId="50" fillId="0" borderId="0" xfId="0" applyFont="1" applyAlignment="1">
      <alignment horizontal="left" vertical="top" wrapText="1"/>
    </xf>
    <xf numFmtId="0" fontId="50" fillId="0" borderId="0" xfId="502" applyFont="1" applyFill="1" applyAlignment="1">
      <alignment horizontal="left" vertical="top" wrapText="1"/>
    </xf>
    <xf numFmtId="0" fontId="50" fillId="0" borderId="0" xfId="569" applyFont="1" applyFill="1" applyAlignment="1">
      <alignment vertical="top" wrapText="1"/>
    </xf>
    <xf numFmtId="0" fontId="92" fillId="0" borderId="0" xfId="507" applyNumberFormat="1" applyFont="1" applyFill="1" applyAlignment="1">
      <alignment horizontal="left" vertical="top" wrapText="1"/>
    </xf>
    <xf numFmtId="0" fontId="50" fillId="0" borderId="0" xfId="507" applyNumberFormat="1" applyFont="1" applyFill="1" applyAlignment="1">
      <alignment horizontal="left" vertical="top" wrapText="1"/>
    </xf>
    <xf numFmtId="168" fontId="54" fillId="0" borderId="0" xfId="480" applyFont="1" applyFill="1" applyAlignment="1">
      <alignment vertical="top" wrapText="1"/>
    </xf>
    <xf numFmtId="9" fontId="93" fillId="0" borderId="0" xfId="480" applyNumberFormat="1" applyFont="1" applyFill="1" applyAlignment="1">
      <alignment horizontal="left" vertical="top" wrapText="1"/>
    </xf>
    <xf numFmtId="0" fontId="82" fillId="0" borderId="0" xfId="502" applyNumberFormat="1" applyFont="1" applyFill="1" applyAlignment="1">
      <alignment horizontal="justify" vertical="top"/>
    </xf>
    <xf numFmtId="0" fontId="50" fillId="0" borderId="0" xfId="502" applyNumberFormat="1" applyFont="1" applyFill="1" applyAlignment="1">
      <alignment horizontal="justify" vertical="top"/>
    </xf>
    <xf numFmtId="0" fontId="50" fillId="0" borderId="0" xfId="0" applyFont="1" applyAlignment="1">
      <alignment horizontal="left" vertical="top"/>
    </xf>
    <xf numFmtId="0" fontId="50" fillId="0" borderId="0" xfId="502" applyFont="1" applyFill="1" applyAlignment="1">
      <alignment horizontal="justify" vertical="top"/>
    </xf>
    <xf numFmtId="0" fontId="93" fillId="0" borderId="0" xfId="502" applyFont="1" applyFill="1" applyAlignment="1">
      <alignment horizontal="justify" vertical="top"/>
    </xf>
    <xf numFmtId="0" fontId="82" fillId="0" borderId="0" xfId="502" applyNumberFormat="1" applyFont="1" applyFill="1" applyBorder="1" applyAlignment="1">
      <alignment horizontal="left" vertical="top" wrapText="1"/>
    </xf>
    <xf numFmtId="0" fontId="50" fillId="0" borderId="0" xfId="502" applyFont="1" applyFill="1" applyBorder="1" applyAlignment="1">
      <alignment horizontal="left" vertical="top" wrapText="1"/>
    </xf>
    <xf numFmtId="0" fontId="55" fillId="0" borderId="0" xfId="502" applyFont="1" applyFill="1" applyBorder="1" applyAlignment="1">
      <alignment horizontal="left" vertical="top" wrapText="1"/>
    </xf>
    <xf numFmtId="0" fontId="93" fillId="0" borderId="0" xfId="502" applyFont="1" applyFill="1" applyAlignment="1">
      <alignment horizontal="left" vertical="top" wrapText="1"/>
    </xf>
    <xf numFmtId="168" fontId="54" fillId="0" borderId="0" xfId="480" applyFont="1" applyFill="1" applyAlignment="1" applyProtection="1">
      <alignment horizontal="left" vertical="top" wrapText="1"/>
    </xf>
    <xf numFmtId="0" fontId="94" fillId="0" borderId="0" xfId="502" applyFont="1" applyFill="1" applyAlignment="1">
      <alignment vertical="top" wrapText="1"/>
    </xf>
    <xf numFmtId="0" fontId="82" fillId="0" borderId="0" xfId="502" applyFont="1" applyFill="1" applyAlignment="1">
      <alignment vertical="top" wrapText="1"/>
    </xf>
    <xf numFmtId="168" fontId="54" fillId="0" borderId="0" xfId="480" applyFont="1" applyFill="1" applyBorder="1" applyAlignment="1">
      <alignment vertical="top" wrapText="1"/>
    </xf>
    <xf numFmtId="0" fontId="95" fillId="0" borderId="0" xfId="0" applyFont="1"/>
    <xf numFmtId="168" fontId="54" fillId="0" borderId="0" xfId="480" applyFont="1" applyFill="1" applyAlignment="1" applyProtection="1">
      <alignment horizontal="left" vertical="top" wrapText="1"/>
      <protection hidden="1"/>
    </xf>
    <xf numFmtId="0" fontId="96" fillId="0" borderId="0" xfId="527" applyFont="1" applyFill="1" applyAlignment="1">
      <alignment horizontal="left" vertical="top" wrapText="1"/>
    </xf>
    <xf numFmtId="168" fontId="0" fillId="0" borderId="0" xfId="480" applyFont="1"/>
    <xf numFmtId="0" fontId="0" fillId="36" borderId="19" xfId="0" applyFont="1" applyFill="1" applyBorder="1" applyAlignment="1">
      <alignment vertical="top" wrapText="1"/>
    </xf>
    <xf numFmtId="0" fontId="54" fillId="36" borderId="19" xfId="0" applyFont="1" applyFill="1" applyBorder="1" applyAlignment="1">
      <alignment vertical="top" wrapText="1"/>
    </xf>
    <xf numFmtId="0" fontId="54" fillId="36" borderId="19" xfId="502" applyNumberFormat="1" applyFont="1" applyFill="1" applyBorder="1" applyAlignment="1">
      <alignment vertical="top" wrapText="1"/>
    </xf>
    <xf numFmtId="0" fontId="9" fillId="0" borderId="19" xfId="487" applyFill="1" applyBorder="1" applyAlignment="1">
      <alignment vertical="center"/>
      <protection locked="0"/>
    </xf>
    <xf numFmtId="0" fontId="9" fillId="0" borderId="19" xfId="487" applyBorder="1" applyAlignment="1">
      <alignment vertical="center"/>
      <protection locked="0"/>
    </xf>
    <xf numFmtId="0" fontId="2" fillId="0" borderId="0" xfId="592" applyAlignment="1">
      <alignment vertical="top" wrapText="1"/>
    </xf>
    <xf numFmtId="0" fontId="54" fillId="0" borderId="0" xfId="0" applyFont="1" applyFill="1" applyAlignment="1">
      <alignment vertical="top" wrapText="1"/>
    </xf>
    <xf numFmtId="0" fontId="51" fillId="0" borderId="0" xfId="0" applyFont="1" applyFill="1" applyAlignment="1">
      <alignment vertical="top" wrapText="1"/>
    </xf>
    <xf numFmtId="0" fontId="0" fillId="0" borderId="0" xfId="0" applyFont="1" applyFill="1" applyAlignment="1">
      <alignment vertical="top"/>
    </xf>
    <xf numFmtId="0" fontId="54" fillId="0" borderId="0" xfId="0" applyFont="1" applyFill="1" applyBorder="1" applyAlignment="1">
      <alignment vertical="top" wrapText="1"/>
    </xf>
    <xf numFmtId="0" fontId="0" fillId="0" borderId="0" xfId="0" applyFont="1" applyFill="1" applyBorder="1" applyAlignment="1">
      <alignment horizontal="left" vertical="top" wrapText="1"/>
    </xf>
    <xf numFmtId="0" fontId="54"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4" fillId="0" borderId="0" xfId="502" applyNumberFormat="1" applyFont="1" applyFill="1" applyAlignment="1">
      <alignment horizontal="left" vertical="top" wrapText="1"/>
    </xf>
    <xf numFmtId="0" fontId="54" fillId="0" borderId="0" xfId="502" applyNumberFormat="1" applyFont="1" applyFill="1" applyAlignment="1">
      <alignment horizontal="justify" vertical="top"/>
    </xf>
    <xf numFmtId="0" fontId="54" fillId="0" borderId="0" xfId="502" applyNumberFormat="1" applyFont="1" applyFill="1" applyBorder="1" applyAlignment="1">
      <alignment horizontal="left" vertical="top" wrapText="1"/>
    </xf>
    <xf numFmtId="0" fontId="50" fillId="0" borderId="0" xfId="502" applyNumberFormat="1" applyFont="1" applyFill="1" applyAlignment="1">
      <alignment horizontal="left" vertical="top" wrapText="1"/>
    </xf>
    <xf numFmtId="0" fontId="54" fillId="0" borderId="0" xfId="506" applyNumberFormat="1" applyFont="1" applyFill="1" applyAlignment="1">
      <alignment horizontal="left" vertical="top" wrapText="1"/>
    </xf>
    <xf numFmtId="0" fontId="54" fillId="0" borderId="0" xfId="0" applyFont="1" applyFill="1" applyAlignment="1">
      <alignment vertical="top" wrapText="1"/>
    </xf>
    <xf numFmtId="0" fontId="0" fillId="0" borderId="0" xfId="0" applyFont="1" applyFill="1" applyAlignment="1">
      <alignment vertical="top" wrapText="1"/>
    </xf>
    <xf numFmtId="0" fontId="98" fillId="0" borderId="19" xfId="593" applyFont="1" applyBorder="1" applyProtection="1">
      <protection locked="0"/>
    </xf>
    <xf numFmtId="0" fontId="1" fillId="0" borderId="19" xfId="593" applyBorder="1" applyProtection="1">
      <protection locked="0"/>
    </xf>
    <xf numFmtId="168" fontId="26" fillId="0" borderId="48" xfId="570" applyNumberFormat="1" applyFont="1" applyFill="1" applyBorder="1" applyAlignment="1">
      <alignment horizontal="center" vertical="top" wrapText="1"/>
    </xf>
    <xf numFmtId="168" fontId="26" fillId="0" borderId="49" xfId="570" applyNumberFormat="1" applyFont="1" applyFill="1" applyBorder="1" applyAlignment="1">
      <alignment horizontal="center" vertical="top" wrapText="1"/>
    </xf>
    <xf numFmtId="168" fontId="26" fillId="0" borderId="11" xfId="570" applyNumberFormat="1" applyFont="1" applyFill="1" applyBorder="1" applyAlignment="1">
      <alignment horizontal="center" vertical="top" wrapText="1"/>
    </xf>
    <xf numFmtId="0" fontId="26" fillId="33" borderId="48" xfId="570" applyFont="1" applyFill="1" applyBorder="1" applyAlignment="1">
      <alignment horizontal="left" vertical="top" wrapText="1"/>
    </xf>
    <xf numFmtId="0" fontId="26" fillId="33" borderId="49" xfId="570" applyFont="1" applyFill="1" applyBorder="1" applyAlignment="1">
      <alignment horizontal="left" vertical="top" wrapText="1"/>
    </xf>
    <xf numFmtId="0" fontId="26" fillId="33" borderId="11" xfId="570" applyFont="1" applyFill="1" applyBorder="1" applyAlignment="1">
      <alignment horizontal="left" vertical="top" wrapText="1"/>
    </xf>
    <xf numFmtId="0" fontId="13" fillId="33" borderId="15" xfId="0" applyFont="1" applyFill="1" applyBorder="1" applyAlignment="1">
      <alignment horizontal="center" vertical="center" wrapText="1"/>
    </xf>
    <xf numFmtId="0" fontId="13" fillId="33" borderId="32" xfId="0" applyFont="1" applyFill="1" applyBorder="1" applyAlignment="1">
      <alignment horizontal="center" vertical="center" wrapText="1"/>
    </xf>
    <xf numFmtId="0" fontId="7" fillId="33" borderId="45" xfId="0" applyFont="1" applyFill="1" applyBorder="1" applyAlignment="1">
      <alignment horizontal="center"/>
    </xf>
    <xf numFmtId="0" fontId="10" fillId="33" borderId="0" xfId="0" applyFont="1" applyFill="1" applyBorder="1" applyAlignment="1">
      <alignment horizontal="center"/>
    </xf>
    <xf numFmtId="0" fontId="27" fillId="33" borderId="0" xfId="0" applyFont="1" applyFill="1" applyBorder="1" applyAlignment="1">
      <alignment horizontal="center" vertical="center" wrapText="1"/>
    </xf>
    <xf numFmtId="0" fontId="27" fillId="33" borderId="60" xfId="0" applyFont="1" applyFill="1" applyBorder="1" applyAlignment="1">
      <alignment horizontal="center" vertical="center" wrapText="1"/>
    </xf>
    <xf numFmtId="0" fontId="26" fillId="33" borderId="48" xfId="570" applyFont="1" applyFill="1" applyBorder="1" applyAlignment="1">
      <alignment horizontal="center" vertical="top" wrapText="1"/>
    </xf>
    <xf numFmtId="0" fontId="26" fillId="33" borderId="49" xfId="570" applyFont="1" applyFill="1" applyBorder="1" applyAlignment="1">
      <alignment horizontal="center" vertical="top" wrapText="1"/>
    </xf>
    <xf numFmtId="0" fontId="26" fillId="33" borderId="11" xfId="570" applyFont="1" applyFill="1" applyBorder="1" applyAlignment="1">
      <alignment horizontal="center" vertical="top" wrapText="1"/>
    </xf>
    <xf numFmtId="168" fontId="26" fillId="33" borderId="48" xfId="570" applyNumberFormat="1" applyFont="1" applyFill="1" applyBorder="1" applyAlignment="1">
      <alignment horizontal="center" vertical="top" wrapText="1"/>
    </xf>
    <xf numFmtId="168" fontId="26" fillId="33" borderId="49" xfId="570" applyNumberFormat="1" applyFont="1" applyFill="1" applyBorder="1" applyAlignment="1">
      <alignment horizontal="center" vertical="top" wrapText="1"/>
    </xf>
    <xf numFmtId="168" fontId="26" fillId="33" borderId="11" xfId="570" applyNumberFormat="1" applyFont="1" applyFill="1" applyBorder="1" applyAlignment="1">
      <alignment horizontal="center" vertical="top" wrapText="1"/>
    </xf>
    <xf numFmtId="2" fontId="26" fillId="33" borderId="48" xfId="570" applyNumberFormat="1" applyFont="1" applyFill="1" applyBorder="1" applyAlignment="1">
      <alignment horizontal="center" vertical="top" wrapText="1"/>
    </xf>
    <xf numFmtId="2" fontId="26" fillId="33" borderId="49" xfId="570" applyNumberFormat="1" applyFont="1" applyFill="1" applyBorder="1" applyAlignment="1">
      <alignment horizontal="center" vertical="top" wrapText="1"/>
    </xf>
    <xf numFmtId="2" fontId="26" fillId="33" borderId="11" xfId="570" applyNumberFormat="1" applyFont="1" applyFill="1" applyBorder="1" applyAlignment="1">
      <alignment horizontal="center" vertical="top" wrapText="1"/>
    </xf>
    <xf numFmtId="0" fontId="26" fillId="0" borderId="48" xfId="570" applyFont="1" applyFill="1" applyBorder="1" applyAlignment="1">
      <alignment horizontal="center" vertical="top" wrapText="1"/>
    </xf>
    <xf numFmtId="0" fontId="26" fillId="0" borderId="49" xfId="570" applyFont="1" applyFill="1" applyBorder="1" applyAlignment="1">
      <alignment horizontal="center" vertical="top" wrapText="1"/>
    </xf>
    <xf numFmtId="0" fontId="26" fillId="0" borderId="11" xfId="570"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6" fillId="33" borderId="61" xfId="0" applyFont="1" applyFill="1" applyBorder="1" applyAlignment="1" applyProtection="1">
      <alignment horizontal="left" vertical="center"/>
      <protection locked="0"/>
    </xf>
    <xf numFmtId="0" fontId="16" fillId="33" borderId="37" xfId="0" applyFont="1" applyFill="1" applyBorder="1" applyAlignment="1" applyProtection="1">
      <alignment horizontal="left" vertical="center"/>
      <protection locked="0"/>
    </xf>
    <xf numFmtId="0" fontId="12" fillId="33" borderId="61" xfId="0" applyFont="1" applyFill="1" applyBorder="1" applyAlignment="1" applyProtection="1">
      <alignment horizontal="left" vertical="center" wrapText="1"/>
      <protection locked="0"/>
    </xf>
    <xf numFmtId="0" fontId="12" fillId="33" borderId="10" xfId="0" applyFont="1" applyFill="1" applyBorder="1" applyAlignment="1" applyProtection="1">
      <alignment horizontal="left" vertical="center" wrapText="1"/>
      <protection locked="0"/>
    </xf>
    <xf numFmtId="0" fontId="12" fillId="33" borderId="37" xfId="0" applyFont="1" applyFill="1" applyBorder="1" applyAlignment="1" applyProtection="1">
      <alignment horizontal="left" vertical="center" wrapText="1"/>
      <protection locked="0"/>
    </xf>
    <xf numFmtId="0" fontId="10" fillId="33" borderId="27" xfId="0" applyFont="1" applyFill="1" applyBorder="1" applyAlignment="1" applyProtection="1">
      <alignment horizontal="center" wrapText="1"/>
      <protection hidden="1"/>
    </xf>
    <xf numFmtId="0" fontId="18" fillId="33" borderId="32" xfId="0" applyFont="1" applyFill="1" applyBorder="1" applyAlignment="1" applyProtection="1">
      <alignment horizontal="center" vertical="center"/>
      <protection hidden="1"/>
    </xf>
    <xf numFmtId="0" fontId="18" fillId="33" borderId="45" xfId="0" applyFont="1" applyFill="1" applyBorder="1" applyAlignment="1" applyProtection="1">
      <alignment horizontal="center" vertical="center"/>
      <protection hidden="1"/>
    </xf>
    <xf numFmtId="0" fontId="25" fillId="0" borderId="0" xfId="487" applyFont="1" applyFill="1" applyBorder="1" applyAlignment="1" applyProtection="1">
      <alignment horizontal="center" vertical="center" wrapText="1"/>
      <protection hidden="1"/>
    </xf>
    <xf numFmtId="0" fontId="16" fillId="33" borderId="61" xfId="0" applyFont="1" applyFill="1" applyBorder="1" applyAlignment="1" applyProtection="1">
      <alignment horizontal="left" vertical="center" wrapText="1"/>
      <protection locked="0"/>
    </xf>
    <xf numFmtId="0" fontId="16" fillId="33" borderId="37" xfId="0" applyFont="1" applyFill="1" applyBorder="1" applyAlignment="1" applyProtection="1">
      <alignment horizontal="left" vertical="center" wrapText="1"/>
      <protection locked="0"/>
    </xf>
    <xf numFmtId="0" fontId="16" fillId="33" borderId="10" xfId="0" applyFont="1" applyFill="1" applyBorder="1" applyAlignment="1" applyProtection="1">
      <alignment horizontal="center" vertical="center"/>
    </xf>
    <xf numFmtId="0" fontId="12" fillId="33" borderId="10" xfId="0" applyFont="1" applyFill="1" applyBorder="1" applyAlignment="1" applyProtection="1">
      <alignment horizontal="left" vertical="center" wrapText="1"/>
    </xf>
    <xf numFmtId="0" fontId="24" fillId="0" borderId="27" xfId="487" applyFont="1" applyFill="1" applyBorder="1" applyAlignment="1" applyProtection="1">
      <alignment horizontal="center"/>
      <protection hidden="1"/>
    </xf>
    <xf numFmtId="0" fontId="15" fillId="33" borderId="10" xfId="0" applyFont="1" applyFill="1" applyBorder="1" applyAlignment="1" applyProtection="1">
      <alignment horizontal="left" wrapText="1"/>
      <protection hidden="1"/>
    </xf>
    <xf numFmtId="0" fontId="86" fillId="0" borderId="34" xfId="487" applyFont="1" applyFill="1" applyBorder="1" applyAlignment="1" applyProtection="1">
      <alignment horizontal="left" vertical="center" wrapText="1"/>
    </xf>
    <xf numFmtId="0" fontId="86" fillId="0" borderId="27" xfId="487" applyFont="1" applyFill="1" applyBorder="1" applyAlignment="1" applyProtection="1">
      <alignment horizontal="left" vertical="center" wrapText="1"/>
    </xf>
    <xf numFmtId="0" fontId="86" fillId="0" borderId="62" xfId="487" applyFont="1" applyFill="1" applyBorder="1" applyAlignment="1" applyProtection="1">
      <alignment horizontal="left" vertical="center" wrapText="1"/>
    </xf>
    <xf numFmtId="0" fontId="16" fillId="0" borderId="61" xfId="0" applyFont="1" applyFill="1" applyBorder="1" applyAlignment="1" applyProtection="1">
      <alignment horizontal="left" vertical="center"/>
      <protection locked="0"/>
    </xf>
    <xf numFmtId="0" fontId="16" fillId="0" borderId="37" xfId="0" applyFont="1" applyFill="1" applyBorder="1" applyAlignment="1" applyProtection="1">
      <alignment horizontal="left" vertical="center"/>
      <protection locked="0"/>
    </xf>
    <xf numFmtId="0" fontId="15" fillId="33" borderId="27" xfId="0" applyFont="1" applyFill="1" applyBorder="1" applyAlignment="1" applyProtection="1">
      <alignment horizontal="left" wrapText="1"/>
      <protection hidden="1"/>
    </xf>
    <xf numFmtId="9" fontId="16" fillId="33" borderId="61" xfId="0" applyNumberFormat="1" applyFont="1" applyFill="1" applyBorder="1" applyAlignment="1" applyProtection="1">
      <alignment horizontal="left" vertical="center"/>
      <protection locked="0"/>
    </xf>
    <xf numFmtId="9" fontId="16" fillId="33" borderId="37" xfId="0" applyNumberFormat="1" applyFont="1" applyFill="1" applyBorder="1" applyAlignment="1" applyProtection="1">
      <alignment horizontal="left" vertical="center"/>
      <protection locked="0"/>
    </xf>
    <xf numFmtId="0" fontId="22" fillId="0" borderId="27" xfId="487" applyFont="1" applyFill="1" applyBorder="1" applyAlignment="1" applyProtection="1">
      <alignment horizontal="center" wrapText="1"/>
      <protection hidden="1"/>
    </xf>
    <xf numFmtId="49" fontId="16" fillId="33" borderId="61" xfId="0" applyNumberFormat="1" applyFont="1" applyFill="1" applyBorder="1" applyAlignment="1" applyProtection="1">
      <alignment horizontal="left" vertical="center" wrapText="1"/>
      <protection locked="0" hidden="1"/>
    </xf>
    <xf numFmtId="49" fontId="16" fillId="33" borderId="10" xfId="0" applyNumberFormat="1" applyFont="1" applyFill="1" applyBorder="1" applyAlignment="1" applyProtection="1">
      <alignment horizontal="left" vertical="center" wrapText="1"/>
      <protection locked="0" hidden="1"/>
    </xf>
    <xf numFmtId="49" fontId="16" fillId="33" borderId="37" xfId="0" applyNumberFormat="1" applyFont="1" applyFill="1" applyBorder="1" applyAlignment="1" applyProtection="1">
      <alignment horizontal="left" vertical="center" wrapText="1"/>
      <protection locked="0" hidden="1"/>
    </xf>
    <xf numFmtId="49" fontId="16" fillId="33" borderId="61" xfId="0" applyNumberFormat="1" applyFont="1" applyFill="1" applyBorder="1" applyAlignment="1" applyProtection="1">
      <alignment horizontal="left" vertical="center" wrapText="1"/>
      <protection locked="0"/>
    </xf>
    <xf numFmtId="49" fontId="16" fillId="33" borderId="10" xfId="0" applyNumberFormat="1" applyFont="1" applyFill="1" applyBorder="1" applyAlignment="1" applyProtection="1">
      <alignment horizontal="left" vertical="center" wrapText="1"/>
      <protection locked="0"/>
    </xf>
    <xf numFmtId="49" fontId="16" fillId="33" borderId="37" xfId="0" applyNumberFormat="1" applyFont="1" applyFill="1" applyBorder="1" applyAlignment="1" applyProtection="1">
      <alignment horizontal="left" vertical="center" wrapText="1"/>
      <protection locked="0"/>
    </xf>
    <xf numFmtId="0" fontId="18" fillId="33" borderId="0" xfId="0" applyFont="1" applyFill="1" applyBorder="1" applyAlignment="1" applyProtection="1">
      <alignment horizontal="center" wrapText="1"/>
    </xf>
    <xf numFmtId="0" fontId="84" fillId="33" borderId="61" xfId="487" applyFont="1" applyFill="1" applyBorder="1" applyAlignment="1" applyProtection="1">
      <alignment horizontal="left" vertical="center" wrapText="1"/>
      <protection locked="0"/>
    </xf>
    <xf numFmtId="0" fontId="85" fillId="33" borderId="10" xfId="0" applyFont="1" applyFill="1" applyBorder="1" applyAlignment="1" applyProtection="1">
      <alignment horizontal="left" vertical="center" wrapText="1"/>
      <protection locked="0"/>
    </xf>
    <xf numFmtId="0" fontId="85"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4" fillId="33" borderId="61" xfId="0" applyFont="1" applyFill="1" applyBorder="1" applyAlignment="1" applyProtection="1">
      <alignment horizontal="center" vertical="center"/>
      <protection hidden="1"/>
    </xf>
    <xf numFmtId="0" fontId="14" fillId="33" borderId="10" xfId="0" applyFont="1" applyFill="1" applyBorder="1" applyAlignment="1" applyProtection="1">
      <alignment horizontal="center" vertical="center"/>
      <protection hidden="1"/>
    </xf>
    <xf numFmtId="0" fontId="14" fillId="33" borderId="37" xfId="0" applyFont="1" applyFill="1" applyBorder="1" applyAlignment="1" applyProtection="1">
      <alignment horizontal="center" vertical="center"/>
      <protection hidden="1"/>
    </xf>
    <xf numFmtId="0" fontId="15" fillId="33" borderId="0" xfId="0" applyFont="1" applyFill="1" applyBorder="1" applyAlignment="1" applyProtection="1">
      <alignment horizontal="center" vertical="center" wrapText="1"/>
      <protection hidden="1"/>
    </xf>
    <xf numFmtId="0" fontId="16" fillId="33" borderId="63" xfId="0" applyFont="1" applyFill="1" applyBorder="1" applyAlignment="1" applyProtection="1">
      <alignment horizontal="left" vertical="center" wrapText="1"/>
      <protection locked="0" hidden="1"/>
    </xf>
    <xf numFmtId="0" fontId="16" fillId="33" borderId="28" xfId="0" applyFont="1" applyFill="1" applyBorder="1" applyAlignment="1" applyProtection="1">
      <alignment horizontal="left" vertical="center" wrapText="1"/>
      <protection locked="0" hidden="1"/>
    </xf>
    <xf numFmtId="0" fontId="16" fillId="33" borderId="53" xfId="0" applyFont="1" applyFill="1" applyBorder="1" applyAlignment="1" applyProtection="1">
      <alignment horizontal="left" vertical="center" wrapText="1"/>
      <protection locked="0" hidden="1"/>
    </xf>
    <xf numFmtId="0" fontId="25" fillId="0" borderId="28" xfId="487" applyFont="1" applyFill="1" applyBorder="1" applyAlignment="1" applyProtection="1">
      <alignment horizontal="center" vertical="center" wrapText="1"/>
      <protection hidden="1"/>
    </xf>
    <xf numFmtId="0" fontId="25" fillId="33" borderId="0" xfId="487" applyFont="1" applyFill="1" applyBorder="1" applyAlignment="1" applyProtection="1">
      <alignment horizontal="center" vertical="center" wrapText="1"/>
      <protection hidden="1"/>
    </xf>
    <xf numFmtId="49" fontId="87" fillId="33" borderId="61" xfId="487" applyNumberFormat="1" applyFont="1" applyFill="1" applyBorder="1" applyAlignment="1" applyProtection="1">
      <alignment horizontal="left" vertical="center" wrapText="1"/>
      <protection locked="0"/>
    </xf>
    <xf numFmtId="49" fontId="87" fillId="33" borderId="10" xfId="487" applyNumberFormat="1" applyFont="1" applyFill="1" applyBorder="1" applyAlignment="1" applyProtection="1">
      <alignment horizontal="left" vertical="center" wrapText="1"/>
      <protection locked="0"/>
    </xf>
    <xf numFmtId="49" fontId="87" fillId="33" borderId="37" xfId="487" applyNumberFormat="1" applyFont="1" applyFill="1" applyBorder="1" applyAlignment="1" applyProtection="1">
      <alignment horizontal="left" vertical="center" wrapText="1"/>
      <protection locked="0"/>
    </xf>
    <xf numFmtId="0" fontId="15" fillId="33" borderId="27" xfId="0" applyFont="1" applyFill="1" applyBorder="1" applyAlignment="1" applyProtection="1">
      <alignment horizontal="center" vertical="top" wrapText="1"/>
      <protection hidden="1"/>
    </xf>
    <xf numFmtId="0" fontId="15" fillId="33" borderId="42" xfId="0" applyFont="1" applyFill="1" applyBorder="1" applyAlignment="1" applyProtection="1">
      <alignment horizontal="right" vertical="center"/>
      <protection hidden="1"/>
    </xf>
    <xf numFmtId="0" fontId="15" fillId="33" borderId="29" xfId="0" applyFont="1" applyFill="1" applyBorder="1" applyAlignment="1" applyProtection="1">
      <alignment horizontal="right" vertical="center"/>
      <protection hidden="1"/>
    </xf>
    <xf numFmtId="49" fontId="86" fillId="33" borderId="61" xfId="487" applyNumberFormat="1" applyFont="1" applyFill="1" applyBorder="1" applyAlignment="1" applyProtection="1">
      <alignment horizontal="left" vertical="center" wrapText="1"/>
      <protection locked="0"/>
    </xf>
    <xf numFmtId="49" fontId="87" fillId="33" borderId="10" xfId="0" applyNumberFormat="1" applyFont="1" applyFill="1" applyBorder="1" applyAlignment="1" applyProtection="1">
      <alignment horizontal="left" vertical="center" wrapText="1"/>
      <protection locked="0"/>
    </xf>
    <xf numFmtId="49" fontId="87" fillId="33" borderId="37" xfId="0" applyNumberFormat="1" applyFont="1" applyFill="1" applyBorder="1" applyAlignment="1" applyProtection="1">
      <alignment horizontal="left" vertical="center" wrapText="1"/>
      <protection locked="0"/>
    </xf>
    <xf numFmtId="169" fontId="15" fillId="33" borderId="34" xfId="0" applyNumberFormat="1" applyFont="1" applyFill="1" applyBorder="1" applyAlignment="1" applyProtection="1">
      <alignment horizontal="center" wrapText="1"/>
      <protection locked="0"/>
    </xf>
    <xf numFmtId="169" fontId="15" fillId="33" borderId="62" xfId="0" applyNumberFormat="1" applyFont="1" applyFill="1" applyBorder="1" applyAlignment="1" applyProtection="1">
      <alignment horizontal="center" wrapText="1"/>
      <protection locked="0"/>
    </xf>
    <xf numFmtId="0" fontId="15" fillId="33" borderId="27" xfId="0" applyFont="1" applyFill="1" applyBorder="1" applyAlignment="1" applyProtection="1">
      <alignment horizontal="center" wrapText="1"/>
      <protection hidden="1"/>
    </xf>
    <xf numFmtId="0" fontId="49" fillId="33" borderId="38" xfId="487" applyFont="1" applyFill="1" applyBorder="1" applyAlignment="1" applyProtection="1">
      <alignment horizontal="center" vertical="center" wrapText="1"/>
      <protection hidden="1"/>
    </xf>
    <xf numFmtId="0" fontId="49" fillId="33" borderId="0" xfId="487" applyFont="1" applyFill="1" applyBorder="1" applyAlignment="1" applyProtection="1">
      <alignment horizontal="center" vertical="center" wrapText="1"/>
      <protection hidden="1"/>
    </xf>
    <xf numFmtId="0" fontId="13" fillId="0" borderId="60" xfId="0" applyFont="1" applyBorder="1" applyAlignment="1" applyProtection="1">
      <alignment horizontal="left" vertical="center" wrapText="1"/>
      <protection hidden="1"/>
    </xf>
    <xf numFmtId="0" fontId="12" fillId="33" borderId="27" xfId="0" applyFont="1" applyFill="1" applyBorder="1" applyAlignment="1" applyProtection="1">
      <alignment horizontal="center" vertical="center" wrapText="1"/>
      <protection hidden="1"/>
    </xf>
    <xf numFmtId="0" fontId="12"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2" fillId="33" borderId="0" xfId="487" applyFont="1" applyFill="1" applyBorder="1" applyAlignment="1" applyProtection="1">
      <alignment horizontal="center" vertical="center" wrapText="1"/>
      <protection hidden="1"/>
    </xf>
    <xf numFmtId="0" fontId="35"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7"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Comma [0] 2" xfId="29"/>
    <cellStyle name="Comma [0] 3" xfId="30"/>
    <cellStyle name="Comma [0] 4" xfId="31"/>
    <cellStyle name="Comma 10" xfId="32"/>
    <cellStyle name="Comma 100" xfId="33"/>
    <cellStyle name="Comma 101" xfId="34"/>
    <cellStyle name="Comma 102" xfId="35"/>
    <cellStyle name="Comma 103" xfId="36"/>
    <cellStyle name="Comma 104" xfId="37"/>
    <cellStyle name="Comma 105" xfId="38"/>
    <cellStyle name="Comma 106" xfId="39"/>
    <cellStyle name="Comma 107" xfId="40"/>
    <cellStyle name="Comma 108" xfId="41"/>
    <cellStyle name="Comma 109" xfId="42"/>
    <cellStyle name="Comma 11" xfId="43"/>
    <cellStyle name="Comma 110" xfId="44"/>
    <cellStyle name="Comma 111" xfId="45"/>
    <cellStyle name="Comma 112" xfId="46"/>
    <cellStyle name="Comma 113" xfId="47"/>
    <cellStyle name="Comma 114" xfId="48"/>
    <cellStyle name="Comma 115" xfId="49"/>
    <cellStyle name="Comma 116" xfId="50"/>
    <cellStyle name="Comma 117" xfId="51"/>
    <cellStyle name="Comma 118" xfId="52"/>
    <cellStyle name="Comma 119" xfId="53"/>
    <cellStyle name="Comma 12" xfId="54"/>
    <cellStyle name="Comma 120" xfId="55"/>
    <cellStyle name="Comma 121" xfId="56"/>
    <cellStyle name="Comma 122" xfId="57"/>
    <cellStyle name="Comma 123" xfId="58"/>
    <cellStyle name="Comma 124" xfId="59"/>
    <cellStyle name="Comma 125" xfId="60"/>
    <cellStyle name="Comma 126" xfId="61"/>
    <cellStyle name="Comma 127" xfId="62"/>
    <cellStyle name="Comma 128" xfId="63"/>
    <cellStyle name="Comma 129" xfId="64"/>
    <cellStyle name="Comma 13" xfId="65"/>
    <cellStyle name="Comma 130" xfId="66"/>
    <cellStyle name="Comma 131" xfId="67"/>
    <cellStyle name="Comma 132" xfId="68"/>
    <cellStyle name="Comma 133" xfId="69"/>
    <cellStyle name="Comma 134" xfId="70"/>
    <cellStyle name="Comma 135" xfId="71"/>
    <cellStyle name="Comma 136" xfId="72"/>
    <cellStyle name="Comma 137" xfId="73"/>
    <cellStyle name="Comma 138" xfId="74"/>
    <cellStyle name="Comma 139" xfId="75"/>
    <cellStyle name="Comma 14" xfId="76"/>
    <cellStyle name="Comma 140" xfId="77"/>
    <cellStyle name="Comma 141" xfId="78"/>
    <cellStyle name="Comma 142" xfId="79"/>
    <cellStyle name="Comma 143" xfId="80"/>
    <cellStyle name="Comma 144" xfId="81"/>
    <cellStyle name="Comma 145" xfId="82"/>
    <cellStyle name="Comma 146" xfId="83"/>
    <cellStyle name="Comma 147" xfId="84"/>
    <cellStyle name="Comma 148" xfId="85"/>
    <cellStyle name="Comma 149" xfId="86"/>
    <cellStyle name="Comma 15" xfId="87"/>
    <cellStyle name="Comma 150" xfId="88"/>
    <cellStyle name="Comma 151" xfId="89"/>
    <cellStyle name="Comma 152" xfId="90"/>
    <cellStyle name="Comma 153" xfId="91"/>
    <cellStyle name="Comma 154" xfId="92"/>
    <cellStyle name="Comma 155" xfId="93"/>
    <cellStyle name="Comma 156" xfId="94"/>
    <cellStyle name="Comma 157" xfId="95"/>
    <cellStyle name="Comma 158" xfId="96"/>
    <cellStyle name="Comma 159" xfId="97"/>
    <cellStyle name="Comma 16" xfId="98"/>
    <cellStyle name="Comma 160" xfId="99"/>
    <cellStyle name="Comma 161" xfId="100"/>
    <cellStyle name="Comma 162" xfId="101"/>
    <cellStyle name="Comma 163" xfId="102"/>
    <cellStyle name="Comma 164" xfId="103"/>
    <cellStyle name="Comma 165" xfId="104"/>
    <cellStyle name="Comma 166" xfId="105"/>
    <cellStyle name="Comma 167" xfId="106"/>
    <cellStyle name="Comma 168" xfId="107"/>
    <cellStyle name="Comma 169" xfId="108"/>
    <cellStyle name="Comma 17" xfId="109"/>
    <cellStyle name="Comma 170" xfId="110"/>
    <cellStyle name="Comma 171" xfId="111"/>
    <cellStyle name="Comma 172" xfId="112"/>
    <cellStyle name="Comma 173" xfId="113"/>
    <cellStyle name="Comma 174" xfId="114"/>
    <cellStyle name="Comma 175" xfId="115"/>
    <cellStyle name="Comma 176" xfId="116"/>
    <cellStyle name="Comma 177" xfId="117"/>
    <cellStyle name="Comma 178" xfId="118"/>
    <cellStyle name="Comma 179" xfId="119"/>
    <cellStyle name="Comma 18" xfId="120"/>
    <cellStyle name="Comma 180" xfId="121"/>
    <cellStyle name="Comma 181" xfId="122"/>
    <cellStyle name="Comma 182" xfId="123"/>
    <cellStyle name="Comma 183" xfId="124"/>
    <cellStyle name="Comma 184" xfId="125"/>
    <cellStyle name="Comma 185" xfId="126"/>
    <cellStyle name="Comma 186" xfId="127"/>
    <cellStyle name="Comma 187" xfId="128"/>
    <cellStyle name="Comma 188" xfId="129"/>
    <cellStyle name="Comma 189" xfId="130"/>
    <cellStyle name="Comma 19" xfId="131"/>
    <cellStyle name="Comma 190" xfId="132"/>
    <cellStyle name="Comma 191" xfId="133"/>
    <cellStyle name="Comma 192" xfId="134"/>
    <cellStyle name="Comma 193" xfId="135"/>
    <cellStyle name="Comma 194" xfId="136"/>
    <cellStyle name="Comma 195" xfId="137"/>
    <cellStyle name="Comma 196" xfId="138"/>
    <cellStyle name="Comma 197" xfId="139"/>
    <cellStyle name="Comma 198" xfId="140"/>
    <cellStyle name="Comma 199" xfId="141"/>
    <cellStyle name="Comma 2" xfId="142"/>
    <cellStyle name="Comma 20" xfId="143"/>
    <cellStyle name="Comma 200" xfId="144"/>
    <cellStyle name="Comma 201" xfId="145"/>
    <cellStyle name="Comma 202" xfId="146"/>
    <cellStyle name="Comma 203" xfId="147"/>
    <cellStyle name="Comma 204" xfId="148"/>
    <cellStyle name="Comma 205" xfId="149"/>
    <cellStyle name="Comma 206" xfId="150"/>
    <cellStyle name="Comma 207" xfId="151"/>
    <cellStyle name="Comma 208" xfId="152"/>
    <cellStyle name="Comma 209" xfId="153"/>
    <cellStyle name="Comma 21" xfId="154"/>
    <cellStyle name="Comma 210" xfId="155"/>
    <cellStyle name="Comma 211" xfId="156"/>
    <cellStyle name="Comma 212" xfId="157"/>
    <cellStyle name="Comma 213" xfId="158"/>
    <cellStyle name="Comma 214" xfId="159"/>
    <cellStyle name="Comma 215" xfId="160"/>
    <cellStyle name="Comma 216" xfId="161"/>
    <cellStyle name="Comma 217" xfId="162"/>
    <cellStyle name="Comma 218" xfId="163"/>
    <cellStyle name="Comma 219" xfId="164"/>
    <cellStyle name="Comma 22" xfId="165"/>
    <cellStyle name="Comma 220" xfId="166"/>
    <cellStyle name="Comma 221" xfId="167"/>
    <cellStyle name="Comma 222" xfId="168"/>
    <cellStyle name="Comma 223" xfId="169"/>
    <cellStyle name="Comma 23" xfId="170"/>
    <cellStyle name="Comma 24" xfId="171"/>
    <cellStyle name="Comma 25" xfId="172"/>
    <cellStyle name="Comma 26" xfId="173"/>
    <cellStyle name="Comma 27" xfId="174"/>
    <cellStyle name="Comma 28" xfId="175"/>
    <cellStyle name="Comma 29" xfId="176"/>
    <cellStyle name="Comma 3" xfId="177"/>
    <cellStyle name="Comma 30" xfId="178"/>
    <cellStyle name="Comma 31" xfId="179"/>
    <cellStyle name="Comma 32" xfId="180"/>
    <cellStyle name="Comma 33" xfId="181"/>
    <cellStyle name="Comma 34" xfId="182"/>
    <cellStyle name="Comma 35" xfId="183"/>
    <cellStyle name="Comma 36" xfId="184"/>
    <cellStyle name="Comma 37" xfId="185"/>
    <cellStyle name="Comma 38" xfId="186"/>
    <cellStyle name="Comma 39" xfId="187"/>
    <cellStyle name="Comma 4" xfId="188"/>
    <cellStyle name="Comma 40" xfId="189"/>
    <cellStyle name="Comma 41" xfId="190"/>
    <cellStyle name="Comma 42" xfId="191"/>
    <cellStyle name="Comma 43" xfId="192"/>
    <cellStyle name="Comma 44" xfId="193"/>
    <cellStyle name="Comma 45" xfId="194"/>
    <cellStyle name="Comma 46" xfId="195"/>
    <cellStyle name="Comma 47" xfId="196"/>
    <cellStyle name="Comma 48" xfId="197"/>
    <cellStyle name="Comma 49" xfId="198"/>
    <cellStyle name="Comma 5" xfId="199"/>
    <cellStyle name="Comma 50" xfId="200"/>
    <cellStyle name="Comma 51" xfId="201"/>
    <cellStyle name="Comma 52" xfId="202"/>
    <cellStyle name="Comma 53" xfId="203"/>
    <cellStyle name="Comma 54" xfId="204"/>
    <cellStyle name="Comma 55" xfId="205"/>
    <cellStyle name="Comma 56" xfId="206"/>
    <cellStyle name="Comma 57" xfId="207"/>
    <cellStyle name="Comma 58" xfId="208"/>
    <cellStyle name="Comma 59" xfId="209"/>
    <cellStyle name="Comma 6" xfId="210"/>
    <cellStyle name="Comma 60" xfId="211"/>
    <cellStyle name="Comma 61" xfId="212"/>
    <cellStyle name="Comma 62" xfId="213"/>
    <cellStyle name="Comma 63" xfId="214"/>
    <cellStyle name="Comma 64" xfId="215"/>
    <cellStyle name="Comma 65" xfId="216"/>
    <cellStyle name="Comma 66" xfId="217"/>
    <cellStyle name="Comma 67" xfId="218"/>
    <cellStyle name="Comma 68" xfId="219"/>
    <cellStyle name="Comma 69" xfId="220"/>
    <cellStyle name="Comma 7" xfId="221"/>
    <cellStyle name="Comma 70" xfId="222"/>
    <cellStyle name="Comma 71" xfId="223"/>
    <cellStyle name="Comma 72" xfId="224"/>
    <cellStyle name="Comma 73" xfId="225"/>
    <cellStyle name="Comma 74" xfId="226"/>
    <cellStyle name="Comma 75" xfId="227"/>
    <cellStyle name="Comma 76" xfId="228"/>
    <cellStyle name="Comma 77" xfId="229"/>
    <cellStyle name="Comma 78" xfId="230"/>
    <cellStyle name="Comma 79" xfId="231"/>
    <cellStyle name="Comma 8" xfId="232"/>
    <cellStyle name="Comma 80" xfId="233"/>
    <cellStyle name="Comma 81" xfId="234"/>
    <cellStyle name="Comma 82" xfId="235"/>
    <cellStyle name="Comma 83" xfId="236"/>
    <cellStyle name="Comma 84" xfId="237"/>
    <cellStyle name="Comma 85" xfId="238"/>
    <cellStyle name="Comma 86" xfId="239"/>
    <cellStyle name="Comma 87" xfId="240"/>
    <cellStyle name="Comma 88" xfId="241"/>
    <cellStyle name="Comma 89" xfId="242"/>
    <cellStyle name="Comma 9" xfId="243"/>
    <cellStyle name="Comma 90" xfId="244"/>
    <cellStyle name="Comma 91" xfId="245"/>
    <cellStyle name="Comma 92" xfId="246"/>
    <cellStyle name="Comma 93" xfId="247"/>
    <cellStyle name="Comma 94" xfId="248"/>
    <cellStyle name="Comma 95" xfId="249"/>
    <cellStyle name="Comma 96" xfId="250"/>
    <cellStyle name="Comma 97" xfId="251"/>
    <cellStyle name="Comma 98" xfId="252"/>
    <cellStyle name="Comma 99" xfId="253"/>
    <cellStyle name="Currency [0] 2" xfId="254"/>
    <cellStyle name="Currency [0] 3" xfId="255"/>
    <cellStyle name="Currency [0] 4" xfId="256"/>
    <cellStyle name="Currency [0] 5" xfId="257"/>
    <cellStyle name="Currency 10" xfId="258"/>
    <cellStyle name="Currency 100" xfId="259"/>
    <cellStyle name="Currency 101" xfId="260"/>
    <cellStyle name="Currency 102" xfId="261"/>
    <cellStyle name="Currency 103" xfId="262"/>
    <cellStyle name="Currency 104" xfId="263"/>
    <cellStyle name="Currency 105" xfId="264"/>
    <cellStyle name="Currency 106" xfId="265"/>
    <cellStyle name="Currency 107" xfId="266"/>
    <cellStyle name="Currency 108" xfId="267"/>
    <cellStyle name="Currency 109" xfId="268"/>
    <cellStyle name="Currency 11" xfId="269"/>
    <cellStyle name="Currency 110" xfId="270"/>
    <cellStyle name="Currency 111" xfId="271"/>
    <cellStyle name="Currency 112" xfId="272"/>
    <cellStyle name="Currency 113" xfId="273"/>
    <cellStyle name="Currency 114" xfId="274"/>
    <cellStyle name="Currency 115" xfId="275"/>
    <cellStyle name="Currency 116" xfId="276"/>
    <cellStyle name="Currency 117" xfId="277"/>
    <cellStyle name="Currency 118" xfId="278"/>
    <cellStyle name="Currency 119" xfId="279"/>
    <cellStyle name="Currency 12" xfId="280"/>
    <cellStyle name="Currency 120" xfId="281"/>
    <cellStyle name="Currency 121" xfId="282"/>
    <cellStyle name="Currency 122" xfId="283"/>
    <cellStyle name="Currency 123" xfId="284"/>
    <cellStyle name="Currency 124" xfId="285"/>
    <cellStyle name="Currency 125" xfId="286"/>
    <cellStyle name="Currency 126" xfId="287"/>
    <cellStyle name="Currency 127" xfId="288"/>
    <cellStyle name="Currency 128" xfId="289"/>
    <cellStyle name="Currency 129" xfId="290"/>
    <cellStyle name="Currency 13" xfId="291"/>
    <cellStyle name="Currency 130" xfId="292"/>
    <cellStyle name="Currency 131" xfId="293"/>
    <cellStyle name="Currency 132" xfId="294"/>
    <cellStyle name="Currency 133" xfId="295"/>
    <cellStyle name="Currency 134" xfId="296"/>
    <cellStyle name="Currency 135" xfId="297"/>
    <cellStyle name="Currency 136" xfId="298"/>
    <cellStyle name="Currency 137" xfId="299"/>
    <cellStyle name="Currency 138" xfId="300"/>
    <cellStyle name="Currency 139" xfId="301"/>
    <cellStyle name="Currency 14" xfId="302"/>
    <cellStyle name="Currency 140" xfId="303"/>
    <cellStyle name="Currency 141" xfId="304"/>
    <cellStyle name="Currency 142" xfId="305"/>
    <cellStyle name="Currency 143" xfId="306"/>
    <cellStyle name="Currency 144" xfId="307"/>
    <cellStyle name="Currency 145" xfId="308"/>
    <cellStyle name="Currency 146" xfId="309"/>
    <cellStyle name="Currency 147" xfId="310"/>
    <cellStyle name="Currency 148" xfId="311"/>
    <cellStyle name="Currency 149" xfId="312"/>
    <cellStyle name="Currency 15" xfId="313"/>
    <cellStyle name="Currency 150" xfId="314"/>
    <cellStyle name="Currency 151" xfId="315"/>
    <cellStyle name="Currency 152" xfId="316"/>
    <cellStyle name="Currency 153" xfId="317"/>
    <cellStyle name="Currency 154" xfId="318"/>
    <cellStyle name="Currency 155" xfId="319"/>
    <cellStyle name="Currency 156" xfId="320"/>
    <cellStyle name="Currency 157" xfId="321"/>
    <cellStyle name="Currency 158" xfId="322"/>
    <cellStyle name="Currency 159" xfId="323"/>
    <cellStyle name="Currency 16" xfId="324"/>
    <cellStyle name="Currency 160" xfId="325"/>
    <cellStyle name="Currency 161" xfId="326"/>
    <cellStyle name="Currency 162" xfId="327"/>
    <cellStyle name="Currency 163" xfId="328"/>
    <cellStyle name="Currency 164" xfId="329"/>
    <cellStyle name="Currency 165" xfId="330"/>
    <cellStyle name="Currency 166" xfId="331"/>
    <cellStyle name="Currency 167" xfId="332"/>
    <cellStyle name="Currency 168" xfId="333"/>
    <cellStyle name="Currency 169" xfId="334"/>
    <cellStyle name="Currency 17" xfId="335"/>
    <cellStyle name="Currency 170" xfId="336"/>
    <cellStyle name="Currency 171" xfId="337"/>
    <cellStyle name="Currency 172" xfId="338"/>
    <cellStyle name="Currency 173" xfId="339"/>
    <cellStyle name="Currency 174" xfId="340"/>
    <cellStyle name="Currency 175" xfId="341"/>
    <cellStyle name="Currency 176" xfId="342"/>
    <cellStyle name="Currency 177" xfId="343"/>
    <cellStyle name="Currency 178" xfId="344"/>
    <cellStyle name="Currency 179" xfId="345"/>
    <cellStyle name="Currency 18" xfId="346"/>
    <cellStyle name="Currency 180" xfId="347"/>
    <cellStyle name="Currency 181" xfId="348"/>
    <cellStyle name="Currency 182" xfId="349"/>
    <cellStyle name="Currency 183" xfId="350"/>
    <cellStyle name="Currency 184" xfId="351"/>
    <cellStyle name="Currency 185" xfId="352"/>
    <cellStyle name="Currency 186" xfId="353"/>
    <cellStyle name="Currency 187" xfId="354"/>
    <cellStyle name="Currency 188" xfId="355"/>
    <cellStyle name="Currency 189" xfId="356"/>
    <cellStyle name="Currency 19" xfId="357"/>
    <cellStyle name="Currency 190" xfId="358"/>
    <cellStyle name="Currency 191" xfId="359"/>
    <cellStyle name="Currency 192" xfId="360"/>
    <cellStyle name="Currency 193" xfId="361"/>
    <cellStyle name="Currency 194" xfId="362"/>
    <cellStyle name="Currency 195" xfId="363"/>
    <cellStyle name="Currency 196" xfId="364"/>
    <cellStyle name="Currency 197" xfId="365"/>
    <cellStyle name="Currency 198" xfId="366"/>
    <cellStyle name="Currency 199" xfId="367"/>
    <cellStyle name="Currency 2" xfId="368"/>
    <cellStyle name="Currency 20" xfId="369"/>
    <cellStyle name="Currency 200" xfId="370"/>
    <cellStyle name="Currency 201" xfId="371"/>
    <cellStyle name="Currency 202" xfId="372"/>
    <cellStyle name="Currency 203" xfId="373"/>
    <cellStyle name="Currency 204" xfId="374"/>
    <cellStyle name="Currency 205" xfId="375"/>
    <cellStyle name="Currency 206" xfId="376"/>
    <cellStyle name="Currency 207" xfId="377"/>
    <cellStyle name="Currency 208" xfId="378"/>
    <cellStyle name="Currency 209" xfId="379"/>
    <cellStyle name="Currency 21" xfId="380"/>
    <cellStyle name="Currency 210" xfId="381"/>
    <cellStyle name="Currency 211" xfId="382"/>
    <cellStyle name="Currency 212" xfId="383"/>
    <cellStyle name="Currency 213" xfId="384"/>
    <cellStyle name="Currency 214" xfId="385"/>
    <cellStyle name="Currency 215" xfId="386"/>
    <cellStyle name="Currency 216" xfId="387"/>
    <cellStyle name="Currency 217" xfId="388"/>
    <cellStyle name="Currency 218" xfId="389"/>
    <cellStyle name="Currency 219" xfId="390"/>
    <cellStyle name="Currency 22" xfId="391"/>
    <cellStyle name="Currency 220" xfId="392"/>
    <cellStyle name="Currency 221" xfId="393"/>
    <cellStyle name="Currency 222" xfId="394"/>
    <cellStyle name="Currency 223" xfId="395"/>
    <cellStyle name="Currency 23" xfId="396"/>
    <cellStyle name="Currency 24" xfId="397"/>
    <cellStyle name="Currency 25" xfId="398"/>
    <cellStyle name="Currency 26" xfId="399"/>
    <cellStyle name="Currency 27" xfId="400"/>
    <cellStyle name="Currency 28" xfId="401"/>
    <cellStyle name="Currency 29" xfId="402"/>
    <cellStyle name="Currency 3" xfId="403"/>
    <cellStyle name="Currency 30" xfId="404"/>
    <cellStyle name="Currency 31" xfId="405"/>
    <cellStyle name="Currency 32" xfId="406"/>
    <cellStyle name="Currency 33" xfId="407"/>
    <cellStyle name="Currency 34" xfId="408"/>
    <cellStyle name="Currency 35" xfId="409"/>
    <cellStyle name="Currency 36" xfId="410"/>
    <cellStyle name="Currency 37" xfId="411"/>
    <cellStyle name="Currency 38" xfId="412"/>
    <cellStyle name="Currency 39" xfId="413"/>
    <cellStyle name="Currency 4" xfId="414"/>
    <cellStyle name="Currency 40" xfId="415"/>
    <cellStyle name="Currency 41" xfId="416"/>
    <cellStyle name="Currency 42" xfId="417"/>
    <cellStyle name="Currency 43" xfId="418"/>
    <cellStyle name="Currency 44" xfId="419"/>
    <cellStyle name="Currency 45" xfId="420"/>
    <cellStyle name="Currency 46" xfId="421"/>
    <cellStyle name="Currency 47" xfId="422"/>
    <cellStyle name="Currency 48" xfId="423"/>
    <cellStyle name="Currency 49" xfId="424"/>
    <cellStyle name="Currency 5" xfId="425"/>
    <cellStyle name="Currency 50" xfId="426"/>
    <cellStyle name="Currency 51" xfId="427"/>
    <cellStyle name="Currency 52" xfId="428"/>
    <cellStyle name="Currency 53" xfId="429"/>
    <cellStyle name="Currency 54" xfId="430"/>
    <cellStyle name="Currency 55" xfId="431"/>
    <cellStyle name="Currency 56" xfId="432"/>
    <cellStyle name="Currency 57" xfId="433"/>
    <cellStyle name="Currency 58" xfId="434"/>
    <cellStyle name="Currency 59" xfId="435"/>
    <cellStyle name="Currency 6" xfId="436"/>
    <cellStyle name="Currency 60" xfId="437"/>
    <cellStyle name="Currency 61" xfId="438"/>
    <cellStyle name="Currency 62" xfId="439"/>
    <cellStyle name="Currency 63" xfId="440"/>
    <cellStyle name="Currency 64" xfId="441"/>
    <cellStyle name="Currency 65" xfId="442"/>
    <cellStyle name="Currency 66" xfId="443"/>
    <cellStyle name="Currency 67" xfId="444"/>
    <cellStyle name="Currency 68" xfId="445"/>
    <cellStyle name="Currency 69" xfId="446"/>
    <cellStyle name="Currency 7" xfId="447"/>
    <cellStyle name="Currency 70" xfId="448"/>
    <cellStyle name="Currency 71" xfId="449"/>
    <cellStyle name="Currency 72" xfId="450"/>
    <cellStyle name="Currency 73" xfId="451"/>
    <cellStyle name="Currency 74" xfId="452"/>
    <cellStyle name="Currency 75" xfId="453"/>
    <cellStyle name="Currency 76" xfId="454"/>
    <cellStyle name="Currency 77" xfId="455"/>
    <cellStyle name="Currency 78" xfId="456"/>
    <cellStyle name="Currency 79" xfId="457"/>
    <cellStyle name="Currency 8" xfId="458"/>
    <cellStyle name="Currency 80" xfId="459"/>
    <cellStyle name="Currency 81" xfId="460"/>
    <cellStyle name="Currency 82" xfId="461"/>
    <cellStyle name="Currency 83" xfId="462"/>
    <cellStyle name="Currency 84" xfId="463"/>
    <cellStyle name="Currency 85" xfId="464"/>
    <cellStyle name="Currency 86" xfId="465"/>
    <cellStyle name="Currency 87" xfId="466"/>
    <cellStyle name="Currency 88" xfId="467"/>
    <cellStyle name="Currency 89" xfId="468"/>
    <cellStyle name="Currency 9" xfId="469"/>
    <cellStyle name="Currency 90" xfId="470"/>
    <cellStyle name="Currency 91" xfId="471"/>
    <cellStyle name="Currency 92" xfId="472"/>
    <cellStyle name="Currency 93" xfId="473"/>
    <cellStyle name="Currency 94" xfId="474"/>
    <cellStyle name="Currency 95" xfId="475"/>
    <cellStyle name="Currency 96" xfId="476"/>
    <cellStyle name="Currency 97" xfId="477"/>
    <cellStyle name="Currency 98" xfId="478"/>
    <cellStyle name="Currency 99" xfId="479"/>
    <cellStyle name="Excel Built-in Normal" xfId="480"/>
    <cellStyle name="Explanatory Text 2" xfId="481"/>
    <cellStyle name="Good 2" xfId="482"/>
    <cellStyle name="Heading 1 2" xfId="483"/>
    <cellStyle name="Heading 2 2" xfId="484"/>
    <cellStyle name="Heading 3 2" xfId="485"/>
    <cellStyle name="Heading 4 2" xfId="486"/>
    <cellStyle name="Hyperlink" xfId="487" builtinId="8"/>
    <cellStyle name="Hyperlink 2" xfId="488"/>
    <cellStyle name="Hyperlink 3" xfId="489"/>
    <cellStyle name="Hyperlink 4" xfId="490"/>
    <cellStyle name="Hyperlink 5" xfId="491"/>
    <cellStyle name="Hyperlink 5 2" xfId="492"/>
    <cellStyle name="Hyperlink 6" xfId="493"/>
    <cellStyle name="Hyperlink 7" xfId="494"/>
    <cellStyle name="Input 2" xfId="495"/>
    <cellStyle name="Linked Cell 2" xfId="496"/>
    <cellStyle name="Neutral 2" xfId="497"/>
    <cellStyle name="Normal" xfId="0" builtinId="0"/>
    <cellStyle name="Normal 10" xfId="498"/>
    <cellStyle name="Normal 100" xfId="499"/>
    <cellStyle name="Normal 11" xfId="593"/>
    <cellStyle name="Normal 118" xfId="500"/>
    <cellStyle name="Normal 12" xfId="501"/>
    <cellStyle name="Normal 13" xfId="502"/>
    <cellStyle name="Normal 13 2" xfId="503"/>
    <cellStyle name="Normal 13 2 2" xfId="504"/>
    <cellStyle name="Normal 13 2 2 2" xfId="505"/>
    <cellStyle name="Normal 13 2 2 2 2" xfId="506"/>
    <cellStyle name="Normal 13 2 2 2 3" xfId="507"/>
    <cellStyle name="Normal 13 2 3" xfId="508"/>
    <cellStyle name="Normal 13 3" xfId="509"/>
    <cellStyle name="Normal 13 3 2" xfId="510"/>
    <cellStyle name="Normal 13 4" xfId="511"/>
    <cellStyle name="Normal 13 6" xfId="512"/>
    <cellStyle name="Normal 15" xfId="513"/>
    <cellStyle name="Normal 16" xfId="514"/>
    <cellStyle name="Normal 17" xfId="515"/>
    <cellStyle name="Normal 19" xfId="516"/>
    <cellStyle name="Normal 2" xfId="517"/>
    <cellStyle name="Normal 2 2" xfId="518"/>
    <cellStyle name="Normal 2 2 2" xfId="519"/>
    <cellStyle name="Normal 2 2 3" xfId="520"/>
    <cellStyle name="Normal 2 3" xfId="521"/>
    <cellStyle name="Normal 2 3 2" xfId="522"/>
    <cellStyle name="Normal 2 4" xfId="523"/>
    <cellStyle name="Normal 2 4 2" xfId="524"/>
    <cellStyle name="Normal 2 5" xfId="525"/>
    <cellStyle name="Normal 23" xfId="526"/>
    <cellStyle name="Normal 3" xfId="527"/>
    <cellStyle name="Normal 3 2" xfId="528"/>
    <cellStyle name="Normal 3 2 11" xfId="529"/>
    <cellStyle name="Normal 3 3" xfId="530"/>
    <cellStyle name="Normal 3 4" xfId="531"/>
    <cellStyle name="Normal 3 8" xfId="532"/>
    <cellStyle name="Normal 3 8 2" xfId="533"/>
    <cellStyle name="Normal 3 8 2 2" xfId="534"/>
    <cellStyle name="Normal 3 8 3" xfId="535"/>
    <cellStyle name="Normal 4" xfId="536"/>
    <cellStyle name="Normal 4 2" xfId="537"/>
    <cellStyle name="Normal 4 3" xfId="538"/>
    <cellStyle name="Normal 4 4" xfId="539"/>
    <cellStyle name="Normal 416" xfId="540"/>
    <cellStyle name="Normal 417" xfId="541"/>
    <cellStyle name="Normal 428" xfId="542"/>
    <cellStyle name="Normal 429" xfId="543"/>
    <cellStyle name="Normal 486" xfId="544"/>
    <cellStyle name="Normal 487" xfId="545"/>
    <cellStyle name="Normal 489" xfId="546"/>
    <cellStyle name="Normal 490" xfId="547"/>
    <cellStyle name="Normal 5" xfId="548"/>
    <cellStyle name="Normal 5 2" xfId="549"/>
    <cellStyle name="Normal 5 3" xfId="550"/>
    <cellStyle name="Normal 506" xfId="551"/>
    <cellStyle name="Normal 516" xfId="552"/>
    <cellStyle name="Normal 517" xfId="553"/>
    <cellStyle name="Normal 53" xfId="554"/>
    <cellStyle name="Normal 54" xfId="555"/>
    <cellStyle name="Normal 542" xfId="556"/>
    <cellStyle name="Normal 543" xfId="557"/>
    <cellStyle name="Normal 544" xfId="558"/>
    <cellStyle name="Normal 547" xfId="559"/>
    <cellStyle name="Normal 548" xfId="560"/>
    <cellStyle name="Normal 550" xfId="561"/>
    <cellStyle name="Normal 571" xfId="562"/>
    <cellStyle name="Normal 572" xfId="563"/>
    <cellStyle name="Normal 6" xfId="564"/>
    <cellStyle name="Normal 6 2" xfId="565"/>
    <cellStyle name="Normal 6 3" xfId="566"/>
    <cellStyle name="Normal 7" xfId="567"/>
    <cellStyle name="Normal 7 2" xfId="568"/>
    <cellStyle name="Normal 8" xfId="569"/>
    <cellStyle name="Normal 9" xfId="592"/>
    <cellStyle name="Normal_Sheet1" xfId="570"/>
    <cellStyle name="Note 2" xfId="571"/>
    <cellStyle name="Output 2" xfId="572"/>
    <cellStyle name="Percent 2" xfId="573"/>
    <cellStyle name="Standard 3" xfId="574"/>
    <cellStyle name="Standard 4" xfId="575"/>
    <cellStyle name="Standard 4 2" xfId="576"/>
    <cellStyle name="Standard 4 2 2" xfId="577"/>
    <cellStyle name="Standard 4 2 2 2" xfId="578"/>
    <cellStyle name="Standard 4 2 3" xfId="579"/>
    <cellStyle name="Standard 4 3" xfId="580"/>
    <cellStyle name="Standard 4 3 2" xfId="581"/>
    <cellStyle name="Standard 4 4" xfId="582"/>
    <cellStyle name="Standard 6" xfId="583"/>
    <cellStyle name="Title 2" xfId="584"/>
    <cellStyle name="Total 2" xfId="585"/>
    <cellStyle name="Warning Text 2" xfId="586"/>
    <cellStyle name="표준 2" xfId="587"/>
    <cellStyle name="一般 7" xfId="588"/>
    <cellStyle name="標準 2" xfId="589"/>
    <cellStyle name="標準 2 2" xfId="590"/>
    <cellStyle name="標準 2 3" xfId="591"/>
  </cellStyles>
  <dxfs count="10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13"/>
        </patternFill>
      </fill>
    </dxf>
    <dxf>
      <fill>
        <patternFill>
          <bgColor rgb="FF5F5F5F"/>
        </patternFill>
      </fill>
    </dxf>
    <dxf>
      <fill>
        <patternFill>
          <bgColor indexed="13"/>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Sean.England@Knowles.com" TargetMode="External"/><Relationship Id="rId7"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0.bin"/><Relationship Id="rId5" Type="http://schemas.openxmlformats.org/officeDocument/2006/relationships/hyperlink" Target="https://www.knowles.com/about-knowles/legal/conflict-minerals" TargetMode="External"/><Relationship Id="rId4" Type="http://schemas.openxmlformats.org/officeDocument/2006/relationships/hyperlink" Target="mailto:Sean.England@Knowles.com"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2" sqref="B2"/>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55"/>
      <c r="B2" s="38" t="s">
        <v>870</v>
      </c>
      <c r="C2" s="36"/>
      <c r="D2" s="208"/>
      <c r="E2" s="3"/>
      <c r="F2" s="36"/>
      <c r="G2" s="34"/>
    </row>
    <row r="3" spans="1:7">
      <c r="A3" s="355"/>
      <c r="B3" s="5" t="s">
        <v>862</v>
      </c>
      <c r="C3" s="6"/>
      <c r="D3" s="209"/>
      <c r="E3" s="3"/>
      <c r="F3" s="6"/>
      <c r="G3" s="34"/>
    </row>
    <row r="4" spans="1:7" ht="15.75">
      <c r="A4" s="355"/>
      <c r="B4" s="41" t="s">
        <v>872</v>
      </c>
      <c r="C4" s="7"/>
      <c r="D4" s="210"/>
      <c r="E4" s="3"/>
      <c r="F4" s="7"/>
      <c r="G4" s="34"/>
    </row>
    <row r="5" spans="1:7">
      <c r="A5" s="355"/>
      <c r="B5" s="40" t="s">
        <v>1063</v>
      </c>
      <c r="C5" s="4"/>
      <c r="D5" s="211"/>
      <c r="E5" s="3"/>
      <c r="F5" s="4"/>
      <c r="G5" s="34"/>
    </row>
    <row r="6" spans="1:7">
      <c r="A6" s="355"/>
      <c r="B6" s="8"/>
      <c r="C6" s="8"/>
      <c r="D6" s="212"/>
      <c r="E6" s="8"/>
      <c r="F6" s="8"/>
      <c r="G6" s="34"/>
    </row>
    <row r="7" spans="1:7">
      <c r="A7" s="355"/>
      <c r="B7" s="8"/>
      <c r="C7" s="8"/>
      <c r="D7" s="212"/>
      <c r="E7" s="8"/>
      <c r="F7" s="8"/>
      <c r="G7" s="34"/>
    </row>
    <row r="8" spans="1:7">
      <c r="A8" s="355"/>
      <c r="B8" s="8"/>
      <c r="C8" s="8"/>
      <c r="D8" s="212"/>
      <c r="E8" s="8"/>
      <c r="F8" s="8"/>
      <c r="G8" s="34"/>
    </row>
    <row r="9" spans="1:7">
      <c r="A9" s="355"/>
      <c r="B9" s="358" t="s">
        <v>873</v>
      </c>
      <c r="C9" s="358"/>
      <c r="D9" s="358"/>
      <c r="E9" s="358"/>
      <c r="F9" s="358"/>
      <c r="G9" s="34"/>
    </row>
    <row r="10" spans="1:7" ht="27" customHeight="1">
      <c r="A10" s="355"/>
      <c r="B10" s="359" t="s">
        <v>448</v>
      </c>
      <c r="C10" s="359"/>
      <c r="D10" s="359"/>
      <c r="E10" s="359"/>
      <c r="F10" s="359"/>
      <c r="G10" s="34"/>
    </row>
    <row r="11" spans="1:7" ht="27" customHeight="1">
      <c r="A11" s="355"/>
      <c r="B11" s="360"/>
      <c r="C11" s="360"/>
      <c r="D11" s="360"/>
      <c r="E11" s="360"/>
      <c r="F11" s="360"/>
      <c r="G11" s="34"/>
    </row>
    <row r="12" spans="1:7">
      <c r="A12" s="355"/>
      <c r="B12" s="42" t="s">
        <v>871</v>
      </c>
      <c r="C12" s="43" t="s">
        <v>874</v>
      </c>
      <c r="D12" s="213" t="s">
        <v>875</v>
      </c>
      <c r="E12" s="43" t="s">
        <v>628</v>
      </c>
      <c r="F12" s="43" t="s">
        <v>629</v>
      </c>
      <c r="G12" s="34"/>
    </row>
    <row r="13" spans="1:7" ht="33.75">
      <c r="A13" s="355"/>
      <c r="B13" s="2">
        <v>1</v>
      </c>
      <c r="C13" s="37" t="s">
        <v>1111</v>
      </c>
      <c r="D13" s="39" t="s">
        <v>899</v>
      </c>
      <c r="E13" s="196" t="s">
        <v>876</v>
      </c>
      <c r="F13" s="196"/>
      <c r="G13" s="34"/>
    </row>
    <row r="14" spans="1:7" ht="33.75">
      <c r="A14" s="355"/>
      <c r="B14" s="2">
        <v>2</v>
      </c>
      <c r="C14" s="37" t="s">
        <v>1111</v>
      </c>
      <c r="D14" s="39" t="s">
        <v>1048</v>
      </c>
      <c r="E14" s="196" t="s">
        <v>540</v>
      </c>
      <c r="F14" s="196" t="s">
        <v>541</v>
      </c>
      <c r="G14" s="34"/>
    </row>
    <row r="15" spans="1:7" ht="89.1" customHeight="1">
      <c r="A15" s="355"/>
      <c r="B15" s="361">
        <v>2.0099999999999998</v>
      </c>
      <c r="C15" s="352" t="s">
        <v>1111</v>
      </c>
      <c r="D15" s="364" t="s">
        <v>2358</v>
      </c>
      <c r="E15" s="197" t="s">
        <v>630</v>
      </c>
      <c r="F15" s="197" t="s">
        <v>633</v>
      </c>
      <c r="G15" s="34"/>
    </row>
    <row r="16" spans="1:7" ht="99" customHeight="1">
      <c r="A16" s="355"/>
      <c r="B16" s="362"/>
      <c r="C16" s="353"/>
      <c r="D16" s="365"/>
      <c r="E16" s="198"/>
      <c r="F16" s="198" t="s">
        <v>631</v>
      </c>
      <c r="G16" s="34"/>
    </row>
    <row r="17" spans="1:7" ht="63" customHeight="1">
      <c r="A17" s="355"/>
      <c r="B17" s="363"/>
      <c r="C17" s="354"/>
      <c r="D17" s="366"/>
      <c r="E17" s="37"/>
      <c r="F17" s="37" t="s">
        <v>632</v>
      </c>
      <c r="G17" s="34"/>
    </row>
    <row r="18" spans="1:7" ht="117" customHeight="1">
      <c r="A18" s="355"/>
      <c r="B18" s="361">
        <v>2.02</v>
      </c>
      <c r="C18" s="352" t="s">
        <v>1111</v>
      </c>
      <c r="D18" s="364" t="s">
        <v>2359</v>
      </c>
      <c r="E18" s="197" t="s">
        <v>449</v>
      </c>
      <c r="F18" s="197" t="s">
        <v>535</v>
      </c>
      <c r="G18" s="34"/>
    </row>
    <row r="19" spans="1:7" ht="71.099999999999994" customHeight="1">
      <c r="A19" s="355"/>
      <c r="B19" s="362"/>
      <c r="C19" s="353"/>
      <c r="D19" s="365"/>
      <c r="E19" s="198" t="s">
        <v>539</v>
      </c>
      <c r="F19" s="198" t="s">
        <v>450</v>
      </c>
      <c r="G19" s="34"/>
    </row>
    <row r="20" spans="1:7" ht="90.75" customHeight="1">
      <c r="A20" s="355"/>
      <c r="B20" s="362"/>
      <c r="C20" s="353"/>
      <c r="D20" s="365"/>
      <c r="E20" s="198"/>
      <c r="F20" s="198" t="s">
        <v>635</v>
      </c>
      <c r="G20" s="34"/>
    </row>
    <row r="21" spans="1:7" ht="74.25" customHeight="1">
      <c r="A21" s="355"/>
      <c r="B21" s="363"/>
      <c r="C21" s="354"/>
      <c r="D21" s="366"/>
      <c r="E21" s="37"/>
      <c r="F21" s="37" t="s">
        <v>634</v>
      </c>
      <c r="G21" s="34"/>
    </row>
    <row r="22" spans="1:7" ht="90" customHeight="1">
      <c r="A22" s="355"/>
      <c r="B22" s="370">
        <v>2.0299999999999998</v>
      </c>
      <c r="C22" s="370" t="s">
        <v>845</v>
      </c>
      <c r="D22" s="349" t="s">
        <v>2360</v>
      </c>
      <c r="E22" s="352" t="s">
        <v>447</v>
      </c>
      <c r="F22" s="197" t="s">
        <v>470</v>
      </c>
      <c r="G22" s="34"/>
    </row>
    <row r="23" spans="1:7" ht="109.5" customHeight="1">
      <c r="A23" s="355"/>
      <c r="B23" s="371"/>
      <c r="C23" s="371"/>
      <c r="D23" s="350"/>
      <c r="E23" s="353"/>
      <c r="F23" s="198" t="s">
        <v>846</v>
      </c>
      <c r="G23" s="34"/>
    </row>
    <row r="24" spans="1:7" ht="74.25" customHeight="1">
      <c r="A24" s="355"/>
      <c r="B24" s="372"/>
      <c r="C24" s="372"/>
      <c r="D24" s="351"/>
      <c r="E24" s="354"/>
      <c r="F24" s="37" t="s">
        <v>446</v>
      </c>
      <c r="G24" s="34"/>
    </row>
    <row r="25" spans="1:7" ht="72" customHeight="1">
      <c r="A25" s="355"/>
      <c r="B25" s="2" t="s">
        <v>468</v>
      </c>
      <c r="C25" s="37" t="s">
        <v>469</v>
      </c>
      <c r="D25" s="39" t="s">
        <v>2361</v>
      </c>
      <c r="E25" s="37" t="s">
        <v>2356</v>
      </c>
      <c r="F25" s="37" t="s">
        <v>471</v>
      </c>
      <c r="G25" s="34"/>
    </row>
    <row r="26" spans="1:7" ht="98.1" customHeight="1">
      <c r="A26" s="355"/>
      <c r="B26" s="367">
        <v>3</v>
      </c>
      <c r="C26" s="361" t="s">
        <v>72</v>
      </c>
      <c r="D26" s="364" t="s">
        <v>2362</v>
      </c>
      <c r="E26" s="352" t="s">
        <v>0</v>
      </c>
      <c r="F26" s="197" t="s">
        <v>66</v>
      </c>
      <c r="G26" s="34"/>
    </row>
    <row r="27" spans="1:7" ht="90" customHeight="1">
      <c r="A27" s="355"/>
      <c r="B27" s="368"/>
      <c r="C27" s="362"/>
      <c r="D27" s="365"/>
      <c r="E27" s="353"/>
      <c r="F27" s="198" t="s">
        <v>61</v>
      </c>
      <c r="G27" s="34"/>
    </row>
    <row r="28" spans="1:7" ht="19.350000000000001" customHeight="1">
      <c r="A28" s="355"/>
      <c r="B28" s="368"/>
      <c r="C28" s="362"/>
      <c r="D28" s="365"/>
      <c r="E28" s="353"/>
      <c r="F28" s="198" t="s">
        <v>62</v>
      </c>
      <c r="G28" s="34"/>
    </row>
    <row r="29" spans="1:7" ht="74.45" customHeight="1">
      <c r="A29" s="355"/>
      <c r="B29" s="368"/>
      <c r="C29" s="362"/>
      <c r="D29" s="365"/>
      <c r="E29" s="353"/>
      <c r="F29" s="198" t="s">
        <v>63</v>
      </c>
      <c r="G29" s="34"/>
    </row>
    <row r="30" spans="1:7" ht="62.45" customHeight="1">
      <c r="A30" s="355"/>
      <c r="B30" s="368"/>
      <c r="C30" s="362"/>
      <c r="D30" s="365"/>
      <c r="E30" s="353"/>
      <c r="F30" s="198" t="s">
        <v>64</v>
      </c>
      <c r="G30" s="34"/>
    </row>
    <row r="31" spans="1:7" ht="81" customHeight="1">
      <c r="A31" s="355"/>
      <c r="B31" s="368"/>
      <c r="C31" s="362"/>
      <c r="D31" s="365"/>
      <c r="E31" s="353"/>
      <c r="F31" s="198" t="s">
        <v>65</v>
      </c>
      <c r="G31" s="34"/>
    </row>
    <row r="32" spans="1:7" ht="48.75" customHeight="1">
      <c r="A32" s="355"/>
      <c r="B32" s="368"/>
      <c r="C32" s="362"/>
      <c r="D32" s="365"/>
      <c r="E32" s="353"/>
      <c r="F32" s="198" t="s">
        <v>68</v>
      </c>
      <c r="G32" s="34"/>
    </row>
    <row r="33" spans="1:7" ht="98.45" customHeight="1">
      <c r="A33" s="355"/>
      <c r="B33" s="368"/>
      <c r="C33" s="362"/>
      <c r="D33" s="365"/>
      <c r="E33" s="353"/>
      <c r="F33" s="198" t="s">
        <v>67</v>
      </c>
      <c r="G33" s="34"/>
    </row>
    <row r="34" spans="1:7" ht="89.1" customHeight="1">
      <c r="A34" s="355"/>
      <c r="B34" s="368"/>
      <c r="C34" s="362"/>
      <c r="D34" s="365"/>
      <c r="E34" s="353"/>
      <c r="F34" s="198" t="s">
        <v>69</v>
      </c>
      <c r="G34" s="34"/>
    </row>
    <row r="35" spans="1:7" ht="29.1" customHeight="1">
      <c r="A35" s="355"/>
      <c r="B35" s="368"/>
      <c r="C35" s="362"/>
      <c r="D35" s="365"/>
      <c r="E35" s="353"/>
      <c r="F35" s="198" t="s">
        <v>70</v>
      </c>
      <c r="G35" s="34"/>
    </row>
    <row r="36" spans="1:7" ht="126.75">
      <c r="A36" s="355"/>
      <c r="B36" s="369"/>
      <c r="C36" s="363"/>
      <c r="D36" s="366"/>
      <c r="E36" s="354"/>
      <c r="F36" s="199" t="s">
        <v>71</v>
      </c>
      <c r="G36" s="34"/>
    </row>
    <row r="37" spans="1:7" ht="112.5">
      <c r="A37" s="355"/>
      <c r="B37" s="171">
        <v>3.01</v>
      </c>
      <c r="C37" s="172" t="s">
        <v>72</v>
      </c>
      <c r="D37" s="39" t="s">
        <v>2363</v>
      </c>
      <c r="E37" s="200" t="s">
        <v>1351</v>
      </c>
      <c r="F37" s="201" t="s">
        <v>1457</v>
      </c>
      <c r="G37" s="34"/>
    </row>
    <row r="38" spans="1:7" ht="101.25">
      <c r="A38" s="355"/>
      <c r="B38" s="171">
        <v>3.02</v>
      </c>
      <c r="C38" s="172" t="s">
        <v>1384</v>
      </c>
      <c r="D38" s="39" t="s">
        <v>2364</v>
      </c>
      <c r="E38" s="200" t="s">
        <v>1399</v>
      </c>
      <c r="F38" s="201" t="s">
        <v>1458</v>
      </c>
      <c r="G38" s="34"/>
    </row>
    <row r="39" spans="1:7" ht="101.25">
      <c r="A39" s="355"/>
      <c r="B39" s="182">
        <v>4</v>
      </c>
      <c r="C39" s="181" t="s">
        <v>1554</v>
      </c>
      <c r="D39" s="39" t="s">
        <v>2365</v>
      </c>
      <c r="E39" s="37" t="s">
        <v>2307</v>
      </c>
      <c r="F39" s="37" t="s">
        <v>1555</v>
      </c>
      <c r="G39" s="34"/>
    </row>
    <row r="40" spans="1:7" ht="56.25">
      <c r="A40" s="355"/>
      <c r="B40" s="171">
        <v>4.01</v>
      </c>
      <c r="C40" s="181" t="s">
        <v>1554</v>
      </c>
      <c r="D40" s="39" t="s">
        <v>2367</v>
      </c>
      <c r="E40" s="37" t="s">
        <v>2321</v>
      </c>
      <c r="F40" s="37" t="s">
        <v>2326</v>
      </c>
      <c r="G40" s="34"/>
    </row>
    <row r="41" spans="1:7" ht="56.25">
      <c r="A41" s="355"/>
      <c r="B41" s="171" t="s">
        <v>2354</v>
      </c>
      <c r="C41" s="181" t="s">
        <v>1554</v>
      </c>
      <c r="D41" s="39" t="s">
        <v>2366</v>
      </c>
      <c r="E41" s="37" t="s">
        <v>2357</v>
      </c>
      <c r="F41" s="37" t="s">
        <v>2355</v>
      </c>
      <c r="G41" s="34"/>
    </row>
    <row r="42" spans="1:7" ht="56.25">
      <c r="A42" s="355"/>
      <c r="B42" s="171" t="s">
        <v>2399</v>
      </c>
      <c r="C42" s="181" t="s">
        <v>1554</v>
      </c>
      <c r="D42" s="39" t="s">
        <v>2406</v>
      </c>
      <c r="E42" s="37" t="s">
        <v>2356</v>
      </c>
      <c r="F42" s="37" t="s">
        <v>2400</v>
      </c>
      <c r="G42" s="34"/>
    </row>
    <row r="43" spans="1:7" ht="123.75">
      <c r="A43" s="355"/>
      <c r="B43" s="193">
        <v>4.0999999999999996</v>
      </c>
      <c r="C43" s="181" t="s">
        <v>2405</v>
      </c>
      <c r="D43" s="194">
        <v>42867</v>
      </c>
      <c r="E43" s="202" t="s">
        <v>2408</v>
      </c>
      <c r="F43" s="37" t="s">
        <v>2407</v>
      </c>
      <c r="G43" s="34"/>
    </row>
    <row r="44" spans="1:7" ht="78.75">
      <c r="A44" s="355"/>
      <c r="B44" s="193">
        <v>4.2</v>
      </c>
      <c r="C44" s="181" t="s">
        <v>2405</v>
      </c>
      <c r="D44" s="194">
        <v>42704</v>
      </c>
      <c r="E44" s="202" t="s">
        <v>2625</v>
      </c>
      <c r="F44" s="37" t="s">
        <v>2598</v>
      </c>
      <c r="G44" s="34"/>
    </row>
    <row r="45" spans="1:7" ht="157.5">
      <c r="A45" s="355"/>
      <c r="B45" s="243">
        <v>5</v>
      </c>
      <c r="C45" s="181" t="s">
        <v>2405</v>
      </c>
      <c r="D45" s="194">
        <v>42867</v>
      </c>
      <c r="E45" s="202" t="s">
        <v>13032</v>
      </c>
      <c r="F45" s="37" t="s">
        <v>12754</v>
      </c>
      <c r="G45" s="34"/>
    </row>
    <row r="46" spans="1:7" ht="45">
      <c r="A46" s="355"/>
      <c r="B46" s="193">
        <v>5.01</v>
      </c>
      <c r="C46" s="181" t="s">
        <v>2405</v>
      </c>
      <c r="D46" s="194">
        <v>42907</v>
      </c>
      <c r="E46" s="202" t="s">
        <v>13052</v>
      </c>
      <c r="F46" s="37" t="s">
        <v>12754</v>
      </c>
      <c r="G46" s="34"/>
    </row>
    <row r="47" spans="1:7" ht="67.5">
      <c r="A47" s="355"/>
      <c r="B47" s="193">
        <v>5.0999999999999996</v>
      </c>
      <c r="C47" s="181" t="s">
        <v>2405</v>
      </c>
      <c r="D47" s="194">
        <v>43070</v>
      </c>
      <c r="E47" s="202" t="s">
        <v>13247</v>
      </c>
      <c r="F47" s="37" t="s">
        <v>13248</v>
      </c>
      <c r="G47" s="34"/>
    </row>
    <row r="48" spans="1:7" ht="56.25">
      <c r="A48" s="355"/>
      <c r="B48" s="193">
        <v>5.1100000000000003</v>
      </c>
      <c r="C48" s="181" t="s">
        <v>13489</v>
      </c>
      <c r="D48" s="194">
        <v>43217</v>
      </c>
      <c r="E48" s="202" t="s">
        <v>13617</v>
      </c>
      <c r="F48" s="37" t="s">
        <v>13523</v>
      </c>
      <c r="G48" s="34"/>
    </row>
    <row r="49" spans="1:7" ht="56.25">
      <c r="A49" s="355"/>
      <c r="B49" s="193">
        <v>5.12</v>
      </c>
      <c r="C49" s="181" t="s">
        <v>13489</v>
      </c>
      <c r="D49" s="194">
        <v>43581</v>
      </c>
      <c r="E49" s="202" t="s">
        <v>13617</v>
      </c>
      <c r="F49" s="37" t="s">
        <v>14191</v>
      </c>
      <c r="G49" s="34"/>
    </row>
    <row r="50" spans="1:7" ht="78.75">
      <c r="A50" s="355"/>
      <c r="B50" s="243">
        <v>6</v>
      </c>
      <c r="C50" s="181" t="s">
        <v>13489</v>
      </c>
      <c r="D50" s="194">
        <v>43964</v>
      </c>
      <c r="E50" s="202" t="s">
        <v>14433</v>
      </c>
      <c r="F50" s="37" t="s">
        <v>14204</v>
      </c>
      <c r="G50" s="34"/>
    </row>
    <row r="51" spans="1:7" ht="45">
      <c r="A51" s="355"/>
      <c r="B51" s="193">
        <v>6.01</v>
      </c>
      <c r="C51" s="181" t="s">
        <v>13489</v>
      </c>
      <c r="D51" s="194">
        <v>43970</v>
      </c>
      <c r="E51" s="202" t="s">
        <v>15503</v>
      </c>
      <c r="F51" s="202" t="s">
        <v>14204</v>
      </c>
      <c r="G51" s="34"/>
    </row>
    <row r="52" spans="1:7" ht="13.5" thickBot="1">
      <c r="A52" s="356"/>
      <c r="B52" s="357" t="str">
        <f ca="1">OFFSET(L!$C$1,MATCH("General"&amp;"Cpy",L!$A:$A,0)-1,SL,,)</f>
        <v>© 2020 Responsible Minerals Initiative. All rights reserved.</v>
      </c>
      <c r="C52" s="357"/>
      <c r="D52" s="357"/>
      <c r="E52" s="357"/>
      <c r="F52" s="357"/>
      <c r="G52" s="35"/>
    </row>
    <row r="53" spans="1:7" ht="13.5"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B22:B24"/>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sortState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5" sqref="B5"/>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3"/>
      <c r="B1" s="374"/>
      <c r="C1" s="374"/>
      <c r="D1" s="375"/>
    </row>
    <row r="2" spans="1:5" ht="71.25" customHeight="1">
      <c r="A2" s="87"/>
      <c r="B2" s="167" t="str">
        <f ca="1">OFFSET(L!$C$1,MATCH("Definitions"&amp;ADDRESS(ROW(),COLUMN(),4),L!$A:$A,0)-1,SL,,)</f>
        <v>ITEM</v>
      </c>
      <c r="C2" s="167" t="str">
        <f ca="1">OFFSET(L!$C$1,MATCH("Definitions"&amp;ADDRESS(ROW(),COLUMN(),4),L!$A:$A,0)-1,SL,,)</f>
        <v>DEFINITION</v>
      </c>
      <c r="D2" s="377"/>
      <c r="E2" s="127"/>
    </row>
    <row r="3" spans="1:5" ht="63.95" customHeight="1">
      <c r="A3" s="87"/>
      <c r="B3" s="74" t="str">
        <f ca="1">OFFSET(L!$C$1,MATCH("Definitions"&amp;ADDRESS(ROW(),COLUMN(),4),L!$A:$A,0)-1,SL,,)</f>
        <v>3TG</v>
      </c>
      <c r="C3" s="74" t="str">
        <f ca="1">OFFSET(L!$C$1,MATCH("Definitions"&amp;ADDRESS(ROW(),COLUMN(),4),L!$A:$A,0)-1,SL,,)</f>
        <v>Tantalum, tin, tungsten, gold</v>
      </c>
      <c r="D3" s="377"/>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7"/>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7"/>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7"/>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7"/>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7"/>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7"/>
      <c r="E9" s="128" t="s">
        <v>1336</v>
      </c>
    </row>
    <row r="10" spans="1:5" ht="45">
      <c r="A10" s="87"/>
      <c r="B10" s="74" t="str">
        <f ca="1">OFFSET(L!$C$1,MATCH("Definitions"&amp;ADDRESS(ROW(),COLUMN(),4),L!$A:$A,0)-1,SL,,)</f>
        <v>DRC</v>
      </c>
      <c r="C10" s="74" t="str">
        <f ca="1">OFFSET(L!$C$1,MATCH("Definitions"&amp;ADDRESS(ROW(),COLUMN(),4),L!$A:$A,0)-1,SL,,)</f>
        <v>Democratic Republic of Congo</v>
      </c>
      <c r="D10" s="377"/>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7"/>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7"/>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7"/>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7"/>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7"/>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7"/>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7"/>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7"/>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7"/>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7"/>
      <c r="E20" s="128"/>
    </row>
    <row r="21" spans="1:5" ht="15">
      <c r="A21" s="87"/>
      <c r="B21" s="74" t="str">
        <f ca="1">OFFSET(L!$C$1,MATCH("Definitions"&amp;ADDRESS(ROW(),COLUMN(),4),L!$A:$A,0)-1,SL,,)</f>
        <v>RBA</v>
      </c>
      <c r="C21" s="74" t="str">
        <f ca="1">OFFSET(L!$C$1,MATCH("Definitions"&amp;ADDRESS(ROW(),COLUMN(),4),L!$A:$A,0)-1,SL,,)</f>
        <v>Responsible Business Alliance (www.responsiblebusiness.org)</v>
      </c>
      <c r="D21" s="377"/>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7"/>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7"/>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7"/>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7"/>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7"/>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7"/>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7"/>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7"/>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7"/>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7"/>
      <c r="E31" s="128"/>
    </row>
    <row r="32" spans="1:5" ht="15">
      <c r="A32" s="87"/>
      <c r="B32" s="376" t="str">
        <f ca="1">OFFSET(L!$C$1,MATCH("General"&amp;"Cpy",L!$A:$A,0)-1,SL,,)</f>
        <v>© 2020 Responsible Minerals Initiative. All rights reserved.</v>
      </c>
      <c r="C32" s="376"/>
      <c r="D32" s="377"/>
      <c r="E32" s="128"/>
    </row>
    <row r="33" spans="1:4" ht="13.5" thickBot="1">
      <c r="A33" s="88"/>
      <c r="B33" s="185"/>
      <c r="C33" s="185"/>
      <c r="D33" s="378"/>
    </row>
    <row r="34" spans="1:4" ht="13.5" thickTop="1"/>
  </sheetData>
  <sheetProtection algorithmName="SHA-512" hashValue="hpb/agFq+Zgl1j5iHsTdjHoQyFSA+OZOR21URiyD6TDaL60ezhptqPd7lp6xCnU/JtNdmwdQ4ajctsD3wHnhwg==" saltValue="DJ2XUoPpkHVCQw9mv1ZHgg==" spinCount="100000" sheet="1" objects="1" scenarios="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11"/>
  <sheetViews>
    <sheetView showGridLines="0" showZeros="0" tabSelected="1" zoomScale="80" zoomScaleNormal="80" zoomScalePageLayoutView="70" workbookViewId="0">
      <selection activeCell="B2" sqref="B2"/>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13"/>
      <c r="B1" s="414"/>
      <c r="C1" s="414"/>
      <c r="D1" s="414"/>
      <c r="E1" s="414"/>
      <c r="F1" s="414"/>
      <c r="G1" s="414"/>
      <c r="H1" s="414"/>
      <c r="I1" s="414"/>
      <c r="J1" s="414"/>
      <c r="K1" s="415"/>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16" t="str">
        <f ca="1">OFFSET(L!$C$1,MATCH("Declaration"&amp;ADDRESS(ROW(),COLUMN(),4),L!$A:$A,0)-1,SL,,)</f>
        <v>Conflict Minerals Reporting Template (CMRT)</v>
      </c>
      <c r="E2" s="417"/>
      <c r="F2" s="417"/>
      <c r="G2" s="417"/>
      <c r="H2" s="417"/>
      <c r="I2" s="417"/>
      <c r="J2" s="418"/>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23"/>
      <c r="G3" s="423"/>
      <c r="H3" s="423"/>
      <c r="I3" s="184"/>
      <c r="J3" s="168" t="s">
        <v>15505</v>
      </c>
      <c r="K3" s="47"/>
      <c r="L3" s="139"/>
      <c r="M3" s="130"/>
      <c r="N3" s="130"/>
      <c r="O3" s="131"/>
      <c r="P3" s="144">
        <f>MATCH($D$3,LN,0)</f>
        <v>1</v>
      </c>
    </row>
    <row r="4" spans="1:34" ht="15.75">
      <c r="A4" s="45"/>
      <c r="B4" s="419" t="str">
        <f ca="1">OFFSET(L!$C$1,MATCH("Declaration"&amp;ADDRESS(ROW(),COLUMN(),4),L!$A:$A,0)-1,SL,,)</f>
        <v>The purpose of this document is to collect sourcing information on tin, tantalum, tungsten and gold used in products</v>
      </c>
      <c r="C4" s="419"/>
      <c r="D4" s="419"/>
      <c r="E4" s="419"/>
      <c r="F4" s="419"/>
      <c r="G4" s="419"/>
      <c r="H4" s="419"/>
      <c r="I4" s="424" t="str">
        <f ca="1">OFFSET(L!$C$1,MATCH("Declaration"&amp;ADDRESS(ROW(),COLUMN(),4),L!$A:$A,0)-1,SL,,)</f>
        <v>Link to Terms &amp; Conditions</v>
      </c>
      <c r="J4" s="424"/>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9" t="str">
        <f ca="1">OFFSET(L!$C$1,MATCH("Declaration"&amp;ADDRESS(ROW(),COLUMN(),4),L!$A:$A,0)-1,SL,,)</f>
        <v>Mandatory fields are noted with an asterisk (*).  Consult the instructions tab for guidance on how to answer each question.</v>
      </c>
      <c r="C6" s="419"/>
      <c r="D6" s="419"/>
      <c r="E6" s="419"/>
      <c r="F6" s="419"/>
      <c r="G6" s="419"/>
      <c r="H6" s="419"/>
      <c r="I6" s="419"/>
      <c r="J6" s="419"/>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28" t="str">
        <f ca="1">OFFSET(L!$C$1,MATCH("Declaration"&amp;ADDRESS(ROW(),COLUMN(),4),L!$A:$A,0)-1,SL,,)</f>
        <v>Company Information</v>
      </c>
      <c r="C7" s="428"/>
      <c r="D7" s="428"/>
      <c r="E7" s="428"/>
      <c r="F7" s="428"/>
      <c r="G7" s="428"/>
      <c r="H7" s="428"/>
      <c r="I7" s="428"/>
      <c r="J7" s="428"/>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ustomHeight="1">
      <c r="A8" s="49"/>
      <c r="B8" s="86" t="str">
        <f ca="1">OFFSET(L!$C$1,MATCH("Declaration"&amp;ADDRESS(ROW(),COLUMN(),4),L!$A:$A,0)-1,SL,,)</f>
        <v>Company Name (*):</v>
      </c>
      <c r="C8" s="89"/>
      <c r="D8" s="403" t="s">
        <v>15506</v>
      </c>
      <c r="E8" s="404"/>
      <c r="F8" s="404"/>
      <c r="G8" s="404"/>
      <c r="H8" s="404"/>
      <c r="I8" s="404"/>
      <c r="J8" s="405"/>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5" t="s">
        <v>504</v>
      </c>
      <c r="E9" s="426"/>
      <c r="F9" s="426"/>
      <c r="G9" s="427"/>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29" t="str">
        <f ca="1">OFFSET(L!$C$1,MATCH("Declaration"&amp;ADDRESS(ROW(),COLUMN(),4)&amp;LEFT($D$9,1),L!$A:$A,0)-1,SL,,)</f>
        <v>Description of Scope:</v>
      </c>
      <c r="C10" s="151"/>
      <c r="D10" s="420" t="s">
        <v>15507</v>
      </c>
      <c r="E10" s="421"/>
      <c r="F10" s="421"/>
      <c r="G10" s="421"/>
      <c r="H10" s="421"/>
      <c r="I10" s="421"/>
      <c r="J10" s="422"/>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30"/>
      <c r="C11" s="151"/>
      <c r="D11" s="394" t="str">
        <f ca="1">IF(D9=Q9,OFFSET(L!$C$1,MATCH("Declaration"&amp;ADDRESS(ROW(),COLUMN(),4),L!$A:$A,0)-1,SL,,),"")</f>
        <v/>
      </c>
      <c r="E11" s="395"/>
      <c r="F11" s="395"/>
      <c r="G11" s="395"/>
      <c r="H11" s="395"/>
      <c r="I11" s="395"/>
      <c r="J11" s="396"/>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03" t="s">
        <v>15508</v>
      </c>
      <c r="E12" s="404"/>
      <c r="F12" s="404"/>
      <c r="G12" s="404"/>
      <c r="H12" s="404"/>
      <c r="I12" s="404"/>
      <c r="J12" s="405"/>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3" t="s">
        <v>15509</v>
      </c>
      <c r="E13" s="404"/>
      <c r="F13" s="404"/>
      <c r="G13" s="404"/>
      <c r="H13" s="404"/>
      <c r="I13" s="404"/>
      <c r="J13" s="405"/>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03" t="s">
        <v>15510</v>
      </c>
      <c r="E14" s="404"/>
      <c r="F14" s="404"/>
      <c r="G14" s="404"/>
      <c r="H14" s="404"/>
      <c r="I14" s="404"/>
      <c r="J14" s="405"/>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06" t="s">
        <v>15511</v>
      </c>
      <c r="E15" s="407"/>
      <c r="F15" s="407"/>
      <c r="G15" s="407"/>
      <c r="H15" s="407"/>
      <c r="I15" s="407"/>
      <c r="J15" s="408"/>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31" t="s">
        <v>15512</v>
      </c>
      <c r="E16" s="432"/>
      <c r="F16" s="432"/>
      <c r="G16" s="432"/>
      <c r="H16" s="432"/>
      <c r="I16" s="432"/>
      <c r="J16" s="433"/>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06" t="s">
        <v>15513</v>
      </c>
      <c r="E17" s="407"/>
      <c r="F17" s="407"/>
      <c r="G17" s="407"/>
      <c r="H17" s="407"/>
      <c r="I17" s="407"/>
      <c r="J17" s="408"/>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06" t="s">
        <v>15511</v>
      </c>
      <c r="E18" s="407"/>
      <c r="F18" s="407"/>
      <c r="G18" s="407"/>
      <c r="H18" s="407"/>
      <c r="I18" s="407"/>
      <c r="J18" s="408"/>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06" t="s">
        <v>15514</v>
      </c>
      <c r="E19" s="407"/>
      <c r="F19" s="407"/>
      <c r="G19" s="407"/>
      <c r="H19" s="407"/>
      <c r="I19" s="407"/>
      <c r="J19" s="408"/>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31" t="s">
        <v>15512</v>
      </c>
      <c r="E20" s="432"/>
      <c r="F20" s="432"/>
      <c r="G20" s="432"/>
      <c r="H20" s="432"/>
      <c r="I20" s="432"/>
      <c r="J20" s="433"/>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406" t="s">
        <v>15513</v>
      </c>
      <c r="E21" s="407"/>
      <c r="F21" s="407"/>
      <c r="G21" s="407"/>
      <c r="H21" s="407"/>
      <c r="I21" s="407"/>
      <c r="J21" s="408"/>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34">
        <v>44032</v>
      </c>
      <c r="E22" s="435"/>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09"/>
      <c r="E23" s="409"/>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36" t="str">
        <f ca="1">OFFSET(L!$C$1,MATCH("Declaration"&amp;ADDRESS(ROW(),COLUMN(),4),L!$A:$A,0)-1,SL,,)</f>
        <v>Answer the following questions 1 - 8 based on the declaration scope indicated above</v>
      </c>
      <c r="C24" s="436"/>
      <c r="D24" s="436"/>
      <c r="E24" s="436"/>
      <c r="F24" s="436"/>
      <c r="G24" s="436"/>
      <c r="H24" s="436"/>
      <c r="I24" s="436"/>
      <c r="J24" s="436"/>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393" t="str">
        <f ca="1">OFFSET(L!$C$1,MATCH("Declaration"&amp;ADDRESS(ROW(),COLUMN(),4),L!$A:$A,0)-1,SL,,)</f>
        <v>Answer</v>
      </c>
      <c r="E25" s="393"/>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79" t="s">
        <v>498</v>
      </c>
      <c r="E26" s="380"/>
      <c r="F26" s="15"/>
      <c r="G26" s="381"/>
      <c r="H26" s="382"/>
      <c r="I26" s="382"/>
      <c r="J26" s="383"/>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9" t="s">
        <v>498</v>
      </c>
      <c r="E27" s="380"/>
      <c r="F27" s="15"/>
      <c r="G27" s="381"/>
      <c r="H27" s="382"/>
      <c r="I27" s="382"/>
      <c r="J27" s="383"/>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9" t="s">
        <v>498</v>
      </c>
      <c r="E28" s="380"/>
      <c r="F28" s="15"/>
      <c r="G28" s="381"/>
      <c r="H28" s="382"/>
      <c r="I28" s="382"/>
      <c r="J28" s="383"/>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379" t="s">
        <v>498</v>
      </c>
      <c r="E29" s="380"/>
      <c r="F29" s="15"/>
      <c r="G29" s="381"/>
      <c r="H29" s="382"/>
      <c r="I29" s="382"/>
      <c r="J29" s="383"/>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99" t="str">
        <f ca="1">D25</f>
        <v>Answer</v>
      </c>
      <c r="E31" s="399"/>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397" t="s">
        <v>498</v>
      </c>
      <c r="E32" s="398"/>
      <c r="F32" s="58"/>
      <c r="G32" s="381"/>
      <c r="H32" s="382"/>
      <c r="I32" s="382"/>
      <c r="J32" s="383"/>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9" t="s">
        <v>498</v>
      </c>
      <c r="E33" s="380"/>
      <c r="F33" s="58"/>
      <c r="G33" s="381"/>
      <c r="H33" s="382"/>
      <c r="I33" s="382"/>
      <c r="J33" s="383"/>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9" t="s">
        <v>498</v>
      </c>
      <c r="E34" s="380"/>
      <c r="F34" s="58"/>
      <c r="G34" s="381"/>
      <c r="H34" s="382"/>
      <c r="I34" s="382"/>
      <c r="J34" s="383"/>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379" t="s">
        <v>498</v>
      </c>
      <c r="E35" s="380"/>
      <c r="F35" s="58"/>
      <c r="G35" s="381"/>
      <c r="H35" s="382"/>
      <c r="I35" s="382"/>
      <c r="J35" s="383"/>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9" t="str">
        <f ca="1">D25</f>
        <v>Answer</v>
      </c>
      <c r="E37" s="399"/>
      <c r="F37" s="21"/>
      <c r="G37" s="55" t="str">
        <f ca="1">G25</f>
        <v>Comments</v>
      </c>
      <c r="H37" s="402"/>
      <c r="I37" s="402"/>
      <c r="J37" s="402"/>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79" t="s">
        <v>499</v>
      </c>
      <c r="E38" s="380"/>
      <c r="F38" s="58"/>
      <c r="G38" s="381"/>
      <c r="H38" s="382"/>
      <c r="I38" s="382"/>
      <c r="J38" s="383"/>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9" t="s">
        <v>499</v>
      </c>
      <c r="E39" s="380"/>
      <c r="F39" s="58"/>
      <c r="G39" s="381"/>
      <c r="H39" s="382"/>
      <c r="I39" s="382"/>
      <c r="J39" s="383"/>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9" t="s">
        <v>499</v>
      </c>
      <c r="E40" s="380"/>
      <c r="F40" s="58"/>
      <c r="G40" s="381"/>
      <c r="H40" s="382"/>
      <c r="I40" s="382"/>
      <c r="J40" s="383"/>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79" t="s">
        <v>499</v>
      </c>
      <c r="E41" s="380"/>
      <c r="F41" s="58"/>
      <c r="G41" s="381"/>
      <c r="H41" s="382"/>
      <c r="I41" s="382"/>
      <c r="J41" s="383"/>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99" t="str">
        <f ca="1">D25</f>
        <v>Answer</v>
      </c>
      <c r="E43" s="399"/>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79" t="s">
        <v>500</v>
      </c>
      <c r="E44" s="380"/>
      <c r="F44" s="58"/>
      <c r="G44" s="381"/>
      <c r="H44" s="382"/>
      <c r="I44" s="382"/>
      <c r="J44" s="383"/>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9" t="s">
        <v>500</v>
      </c>
      <c r="E45" s="380"/>
      <c r="F45" s="58"/>
      <c r="G45" s="381"/>
      <c r="H45" s="382"/>
      <c r="I45" s="382"/>
      <c r="J45" s="383"/>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9" t="s">
        <v>500</v>
      </c>
      <c r="E46" s="380"/>
      <c r="F46" s="58"/>
      <c r="G46" s="381"/>
      <c r="H46" s="382"/>
      <c r="I46" s="382"/>
      <c r="J46" s="383"/>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79" t="s">
        <v>500</v>
      </c>
      <c r="E47" s="380"/>
      <c r="F47" s="58"/>
      <c r="G47" s="381"/>
      <c r="H47" s="382"/>
      <c r="I47" s="382"/>
      <c r="J47" s="383"/>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99" t="str">
        <f ca="1">D25</f>
        <v>Answer</v>
      </c>
      <c r="E49" s="399"/>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13"/>
      <c r="D50" s="379" t="s">
        <v>499</v>
      </c>
      <c r="E50" s="380"/>
      <c r="F50" s="58"/>
      <c r="G50" s="381"/>
      <c r="H50" s="382"/>
      <c r="I50" s="382"/>
      <c r="J50" s="383"/>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9" t="s">
        <v>499</v>
      </c>
      <c r="E51" s="380"/>
      <c r="F51" s="58"/>
      <c r="G51" s="381"/>
      <c r="H51" s="382"/>
      <c r="I51" s="382"/>
      <c r="J51" s="383"/>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9" t="s">
        <v>499</v>
      </c>
      <c r="E52" s="380"/>
      <c r="F52" s="58"/>
      <c r="G52" s="381"/>
      <c r="H52" s="382"/>
      <c r="I52" s="382"/>
      <c r="J52" s="383"/>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13"/>
      <c r="D53" s="379" t="s">
        <v>499</v>
      </c>
      <c r="E53" s="380"/>
      <c r="F53" s="58"/>
      <c r="G53" s="381"/>
      <c r="H53" s="382"/>
      <c r="I53" s="382"/>
      <c r="J53" s="383"/>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99" t="str">
        <f ca="1">D25</f>
        <v>Answer</v>
      </c>
      <c r="E55" s="399"/>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46"/>
      <c r="D56" s="400">
        <v>1</v>
      </c>
      <c r="E56" s="401"/>
      <c r="F56" s="58"/>
      <c r="G56" s="381"/>
      <c r="H56" s="382"/>
      <c r="I56" s="382"/>
      <c r="J56" s="383"/>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400">
        <v>1</v>
      </c>
      <c r="E57" s="401"/>
      <c r="F57" s="58"/>
      <c r="G57" s="381"/>
      <c r="H57" s="382"/>
      <c r="I57" s="382"/>
      <c r="J57" s="383"/>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400">
        <v>1</v>
      </c>
      <c r="E58" s="401"/>
      <c r="F58" s="58"/>
      <c r="G58" s="381"/>
      <c r="H58" s="382"/>
      <c r="I58" s="382"/>
      <c r="J58" s="383"/>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46"/>
      <c r="D59" s="400">
        <v>1</v>
      </c>
      <c r="E59" s="401"/>
      <c r="F59" s="58"/>
      <c r="G59" s="381"/>
      <c r="H59" s="382"/>
      <c r="I59" s="382"/>
      <c r="J59" s="383"/>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99" t="str">
        <f ca="1">D25</f>
        <v>Answer</v>
      </c>
      <c r="E61" s="399"/>
      <c r="F61" s="21"/>
      <c r="G61" s="55" t="str">
        <f ca="1">G25</f>
        <v>Comments</v>
      </c>
      <c r="H61" s="392"/>
      <c r="I61" s="392"/>
      <c r="J61" s="392"/>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13"/>
      <c r="D62" s="397" t="s">
        <v>498</v>
      </c>
      <c r="E62" s="398"/>
      <c r="F62" s="58"/>
      <c r="G62" s="381"/>
      <c r="H62" s="382"/>
      <c r="I62" s="382"/>
      <c r="J62" s="383"/>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9" t="s">
        <v>498</v>
      </c>
      <c r="E63" s="380"/>
      <c r="F63" s="58"/>
      <c r="G63" s="381"/>
      <c r="H63" s="382"/>
      <c r="I63" s="382"/>
      <c r="J63" s="383"/>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9" t="s">
        <v>498</v>
      </c>
      <c r="E64" s="380"/>
      <c r="F64" s="58"/>
      <c r="G64" s="381"/>
      <c r="H64" s="382"/>
      <c r="I64" s="382"/>
      <c r="J64" s="383"/>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Tungsten  (*)</v>
      </c>
      <c r="C65" s="13"/>
      <c r="D65" s="379" t="s">
        <v>498</v>
      </c>
      <c r="E65" s="380"/>
      <c r="F65" s="58"/>
      <c r="G65" s="381"/>
      <c r="H65" s="382"/>
      <c r="I65" s="382"/>
      <c r="J65" s="383"/>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99" t="str">
        <f ca="1">D25</f>
        <v>Answer</v>
      </c>
      <c r="E67" s="399"/>
      <c r="F67" s="21"/>
      <c r="G67" s="55" t="str">
        <f ca="1">G25</f>
        <v>Comments</v>
      </c>
      <c r="H67" s="392" t="str">
        <f>IF(Q75="(*)","Click here to enter smelter names","")</f>
        <v/>
      </c>
      <c r="I67" s="392"/>
      <c r="J67" s="392"/>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Tantalum  (*)</v>
      </c>
      <c r="C68" s="46"/>
      <c r="D68" s="379" t="s">
        <v>498</v>
      </c>
      <c r="E68" s="380"/>
      <c r="F68" s="59"/>
      <c r="G68" s="381"/>
      <c r="H68" s="382"/>
      <c r="I68" s="382"/>
      <c r="J68" s="383"/>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9" t="s">
        <v>498</v>
      </c>
      <c r="E69" s="380"/>
      <c r="F69" s="59"/>
      <c r="G69" s="381"/>
      <c r="H69" s="382"/>
      <c r="I69" s="382"/>
      <c r="J69" s="383"/>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9" t="s">
        <v>498</v>
      </c>
      <c r="E70" s="380"/>
      <c r="F70" s="59"/>
      <c r="G70" s="381"/>
      <c r="H70" s="382"/>
      <c r="I70" s="382"/>
      <c r="J70" s="383"/>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Tungsten  (*)</v>
      </c>
      <c r="C71" s="60"/>
      <c r="D71" s="379" t="s">
        <v>498</v>
      </c>
      <c r="E71" s="380"/>
      <c r="F71" s="61"/>
      <c r="G71" s="381"/>
      <c r="H71" s="382"/>
      <c r="I71" s="382"/>
      <c r="J71" s="383"/>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4" t="str">
        <f ca="1">OFFSET(L!$C$1,MATCH("Declaration"&amp;ADDRESS(ROW(),COLUMN(),4),L!$A:$A,0)-1,SL,,)</f>
        <v>Answer the Following Questions at a Company Level</v>
      </c>
      <c r="C73" s="384"/>
      <c r="D73" s="384"/>
      <c r="E73" s="384"/>
      <c r="F73" s="384"/>
      <c r="G73" s="384"/>
      <c r="H73" s="384"/>
      <c r="I73" s="384"/>
      <c r="J73" s="384"/>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3" t="str">
        <f ca="1">D25</f>
        <v>Answer</v>
      </c>
      <c r="E74" s="393"/>
      <c r="F74" s="64"/>
      <c r="G74" s="393" t="str">
        <f ca="1">G25</f>
        <v>Comments</v>
      </c>
      <c r="H74" s="393" t="e">
        <f>HLOOKUP(SL,LT,$O74,0)</f>
        <v>#NAME?</v>
      </c>
      <c r="I74" s="393"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9" t="s">
        <v>498</v>
      </c>
      <c r="E75" s="380"/>
      <c r="F75" s="68"/>
      <c r="G75" s="381" t="s">
        <v>15515</v>
      </c>
      <c r="H75" s="382"/>
      <c r="I75" s="382"/>
      <c r="J75" s="383"/>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90"/>
      <c r="H76" s="390"/>
      <c r="I76" s="390"/>
      <c r="J76" s="390"/>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9" t="s">
        <v>498</v>
      </c>
      <c r="E77" s="380"/>
      <c r="F77" s="68"/>
      <c r="G77" s="410" t="s">
        <v>15516</v>
      </c>
      <c r="H77" s="411"/>
      <c r="I77" s="411"/>
      <c r="J77" s="412"/>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9" t="s">
        <v>498</v>
      </c>
      <c r="E79" s="380"/>
      <c r="F79" s="68"/>
      <c r="G79" s="381"/>
      <c r="H79" s="382"/>
      <c r="I79" s="382"/>
      <c r="J79" s="383"/>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9" t="s">
        <v>498</v>
      </c>
      <c r="E81" s="380"/>
      <c r="F81" s="68"/>
      <c r="G81" s="381"/>
      <c r="H81" s="382"/>
      <c r="I81" s="382"/>
      <c r="J81" s="383"/>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9" t="s">
        <v>15442</v>
      </c>
      <c r="E83" s="380"/>
      <c r="F83" s="68"/>
      <c r="G83" s="381"/>
      <c r="H83" s="382"/>
      <c r="I83" s="382"/>
      <c r="J83" s="383"/>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88" t="s">
        <v>498</v>
      </c>
      <c r="E85" s="389"/>
      <c r="F85" s="68"/>
      <c r="G85" s="381"/>
      <c r="H85" s="382"/>
      <c r="I85" s="382"/>
      <c r="J85" s="383"/>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90"/>
      <c r="H86" s="390"/>
      <c r="I86" s="390"/>
      <c r="J86" s="390"/>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9" t="s">
        <v>498</v>
      </c>
      <c r="E87" s="380"/>
      <c r="F87" s="68"/>
      <c r="G87" s="381"/>
      <c r="H87" s="382"/>
      <c r="I87" s="382"/>
      <c r="J87" s="383"/>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1"/>
      <c r="H88" s="391"/>
      <c r="I88" s="391"/>
      <c r="J88" s="391"/>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9" t="s">
        <v>14352</v>
      </c>
      <c r="E89" s="380"/>
      <c r="F89" s="68"/>
      <c r="G89" s="381"/>
      <c r="H89" s="382"/>
      <c r="I89" s="382"/>
      <c r="J89" s="383"/>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87" t="str">
        <f>IF(OR($D$8="",$I$3=""),"","Click here to check required fields completion")</f>
        <v/>
      </c>
      <c r="C90" s="387"/>
      <c r="D90" s="387"/>
      <c r="E90" s="387"/>
      <c r="F90" s="387"/>
      <c r="G90" s="387"/>
      <c r="H90" s="387"/>
      <c r="I90" s="387"/>
      <c r="J90" s="387"/>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85" t="str">
        <f ca="1">OFFSET(L!$C$1,MATCH("General"&amp;"Cpy",L!$A:$A,0)-1,SL,,)</f>
        <v>© 2020 Responsible Minerals Initiative. All rights reserved.</v>
      </c>
      <c r="B91" s="386"/>
      <c r="C91" s="386"/>
      <c r="D91" s="386"/>
      <c r="E91" s="386"/>
      <c r="F91" s="386"/>
      <c r="G91" s="386"/>
      <c r="H91" s="386"/>
      <c r="I91" s="386"/>
      <c r="J91" s="386"/>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05" priority="70" stopIfTrue="1">
      <formula>AND(OR($D$26="No",AND($D$26="Yes",$D$32="No")),OR($D$27="No",AND($D$27="Yes",$D$33="No")),OR($D$28="No",AND($D$28="Yes",$D$34="No")),OR($D$29="No",AND($D$29="Yes",$D$35="No")))</formula>
    </cfRule>
    <cfRule type="expression" dxfId="104" priority="71" stopIfTrue="1">
      <formula>IF(D75="",TRUE)</formula>
    </cfRule>
  </conditionalFormatting>
  <conditionalFormatting sqref="D26:E26">
    <cfRule type="expression" dxfId="103" priority="122" stopIfTrue="1">
      <formula>IF($D$26="",TRUE)</formula>
    </cfRule>
  </conditionalFormatting>
  <conditionalFormatting sqref="D27:E27">
    <cfRule type="expression" dxfId="102" priority="129" stopIfTrue="1">
      <formula>IF($D$27="",TRUE)</formula>
    </cfRule>
  </conditionalFormatting>
  <conditionalFormatting sqref="D28:E28">
    <cfRule type="expression" dxfId="101" priority="130" stopIfTrue="1">
      <formula>IF($D$28="",TRUE)</formula>
    </cfRule>
  </conditionalFormatting>
  <conditionalFormatting sqref="D29:E29">
    <cfRule type="expression" dxfId="100" priority="131" stopIfTrue="1">
      <formula>IF($D$29="",TRUE)</formula>
    </cfRule>
  </conditionalFormatting>
  <conditionalFormatting sqref="D9:G9">
    <cfRule type="expression" dxfId="99" priority="137" stopIfTrue="1">
      <formula>IF($D$9="",TRUE)</formula>
    </cfRule>
  </conditionalFormatting>
  <conditionalFormatting sqref="D15:J15">
    <cfRule type="expression" dxfId="98" priority="138" stopIfTrue="1">
      <formula>IF($D$15="",TRUE)</formula>
    </cfRule>
  </conditionalFormatting>
  <conditionalFormatting sqref="D16:J16">
    <cfRule type="expression" dxfId="97" priority="139" stopIfTrue="1">
      <formula>IF($D$16="",TRUE)</formula>
    </cfRule>
  </conditionalFormatting>
  <conditionalFormatting sqref="D17:J17">
    <cfRule type="expression" dxfId="96" priority="140" stopIfTrue="1">
      <formula>IF($D$17="",TRUE)</formula>
    </cfRule>
  </conditionalFormatting>
  <conditionalFormatting sqref="D18:J18">
    <cfRule type="expression" dxfId="95" priority="141" stopIfTrue="1">
      <formula>IF($D$18="",TRUE)</formula>
    </cfRule>
  </conditionalFormatting>
  <conditionalFormatting sqref="D22:E22">
    <cfRule type="expression" dxfId="94" priority="144" stopIfTrue="1">
      <formula>IF($D$22="",TRUE)</formula>
    </cfRule>
  </conditionalFormatting>
  <conditionalFormatting sqref="D34:E34 D40:E40 D52:E52 D58:E58 D64:E64 D70:E70">
    <cfRule type="expression" dxfId="93" priority="34" stopIfTrue="1">
      <formula>$P$28=""</formula>
    </cfRule>
  </conditionalFormatting>
  <conditionalFormatting sqref="D35:E35 D41:E41 D53:E53 D59:E59 D65:E65 D71:E71">
    <cfRule type="expression" dxfId="92" priority="149" stopIfTrue="1">
      <formula>$P$29=""</formula>
    </cfRule>
  </conditionalFormatting>
  <conditionalFormatting sqref="D32:E32">
    <cfRule type="expression" dxfId="91" priority="127" stopIfTrue="1">
      <formula>$P$26=""</formula>
    </cfRule>
  </conditionalFormatting>
  <conditionalFormatting sqref="D32:E32">
    <cfRule type="expression" dxfId="90" priority="40" stopIfTrue="1">
      <formula>IF(AND(OR($D$26="Yes",$D$26=""),$D$32=""),1,0)</formula>
    </cfRule>
  </conditionalFormatting>
  <conditionalFormatting sqref="D38 D50 D56 D62 D68">
    <cfRule type="expression" dxfId="89" priority="36" stopIfTrue="1">
      <formula>$P$32=""</formula>
    </cfRule>
  </conditionalFormatting>
  <conditionalFormatting sqref="D39:E39 D51 D57 D63 D69">
    <cfRule type="expression" dxfId="88" priority="35" stopIfTrue="1">
      <formula>$P$33=""</formula>
    </cfRule>
  </conditionalFormatting>
  <conditionalFormatting sqref="D40 D52 D58 D64 D70">
    <cfRule type="expression" dxfId="87" priority="25" stopIfTrue="1">
      <formula>$P$34=""</formula>
    </cfRule>
    <cfRule type="expression" dxfId="86" priority="147" stopIfTrue="1">
      <formula>IF(AND(OR($D$28="Yes",$D$28=""),D40=""),1,0)</formula>
    </cfRule>
  </conditionalFormatting>
  <conditionalFormatting sqref="D41 D53 D59 D65 D71">
    <cfRule type="expression" dxfId="85" priority="33" stopIfTrue="1">
      <formula>$P$35=""</formula>
    </cfRule>
  </conditionalFormatting>
  <conditionalFormatting sqref="D38:E38 D50:E50 D56:E56 D62:E62 D68:E68">
    <cfRule type="expression" dxfId="84" priority="38" stopIfTrue="1">
      <formula>$P$26=""</formula>
    </cfRule>
    <cfRule type="expression" dxfId="83" priority="39" stopIfTrue="1">
      <formula>IF(AND(OR($D$26="Yes",$D$26=""),D38=""),1,0)</formula>
    </cfRule>
  </conditionalFormatting>
  <conditionalFormatting sqref="G85:J85">
    <cfRule type="expression" dxfId="82" priority="32" stopIfTrue="1">
      <formula>IF(AND($D$85="Yes, using other format (describe)",$G$85=""),TRUE)</formula>
    </cfRule>
  </conditionalFormatting>
  <conditionalFormatting sqref="D39:E39 D51:E51 D57:E57 D63:E63 D69:E69">
    <cfRule type="expression" dxfId="81" priority="145" stopIfTrue="1">
      <formula>$P$39=""</formula>
    </cfRule>
    <cfRule type="expression" dxfId="80" priority="146" stopIfTrue="1">
      <formula>IF(AND(OR($D$27="Yes",$D$27=""),D39=""),1,0)</formula>
    </cfRule>
  </conditionalFormatting>
  <conditionalFormatting sqref="D33:E33">
    <cfRule type="expression" dxfId="79" priority="27" stopIfTrue="1">
      <formula>IF(AND(OR($D$27="Yes",$D$27=""),$D$33=""),1,0)</formula>
    </cfRule>
    <cfRule type="expression" dxfId="78" priority="28" stopIfTrue="1">
      <formula>$P$27=""</formula>
    </cfRule>
  </conditionalFormatting>
  <conditionalFormatting sqref="D34:E34">
    <cfRule type="expression" dxfId="77" priority="148" stopIfTrue="1">
      <formula>IF(AND(OR($D$28="Yes",$D$28=""),$D$34=""),1,0)</formula>
    </cfRule>
  </conditionalFormatting>
  <conditionalFormatting sqref="D41:E41 D53:E53 D59:E59 D65:E65 D71:E71">
    <cfRule type="expression" dxfId="76" priority="150" stopIfTrue="1">
      <formula>IF(AND(OR($D$29="Yes",$D$29=""),D41=""),1,0)</formula>
    </cfRule>
  </conditionalFormatting>
  <conditionalFormatting sqref="D35:E35">
    <cfRule type="expression" dxfId="75" priority="24" stopIfTrue="1">
      <formula>IF(AND(OR($D$29="Yes",$D$29=""),$D$35=""),1,0)</formula>
    </cfRule>
  </conditionalFormatting>
  <conditionalFormatting sqref="D20:J20">
    <cfRule type="expression" dxfId="74" priority="20" stopIfTrue="1">
      <formula>IF($D$20="",TRUE)</formula>
    </cfRule>
  </conditionalFormatting>
  <conditionalFormatting sqref="D46:E46">
    <cfRule type="expression" dxfId="73" priority="10" stopIfTrue="1">
      <formula>$P$28=""</formula>
    </cfRule>
  </conditionalFormatting>
  <conditionalFormatting sqref="D47:E47">
    <cfRule type="expression" dxfId="72" priority="18" stopIfTrue="1">
      <formula>$P$29=""</formula>
    </cfRule>
  </conditionalFormatting>
  <conditionalFormatting sqref="D44">
    <cfRule type="expression" dxfId="71" priority="12" stopIfTrue="1">
      <formula>$P$32=""</formula>
    </cfRule>
  </conditionalFormatting>
  <conditionalFormatting sqref="D45">
    <cfRule type="expression" dxfId="70" priority="11" stopIfTrue="1">
      <formula>$P$33=""</formula>
    </cfRule>
  </conditionalFormatting>
  <conditionalFormatting sqref="D46">
    <cfRule type="expression" dxfId="69" priority="8" stopIfTrue="1">
      <formula>$P$34=""</formula>
    </cfRule>
    <cfRule type="expression" dxfId="68" priority="17" stopIfTrue="1">
      <formula>IF(AND(OR($D$28="Yes",$D$28=""),D46=""),1,0)</formula>
    </cfRule>
  </conditionalFormatting>
  <conditionalFormatting sqref="D47">
    <cfRule type="expression" dxfId="67" priority="9" stopIfTrue="1">
      <formula>$P$35=""</formula>
    </cfRule>
  </conditionalFormatting>
  <conditionalFormatting sqref="D44:E44">
    <cfRule type="expression" dxfId="66" priority="13" stopIfTrue="1">
      <formula>$P$26=""</formula>
    </cfRule>
    <cfRule type="expression" dxfId="65" priority="14" stopIfTrue="1">
      <formula>IF(AND(OR($D$26="Yes",$D$26=""),D44=""),1,0)</formula>
    </cfRule>
  </conditionalFormatting>
  <conditionalFormatting sqref="D45:E45">
    <cfRule type="expression" dxfId="64" priority="15" stopIfTrue="1">
      <formula>$P$39=""</formula>
    </cfRule>
    <cfRule type="expression" dxfId="63" priority="16" stopIfTrue="1">
      <formula>IF(AND(OR($D$27="Yes",$D$27=""),D45=""),1,0)</formula>
    </cfRule>
  </conditionalFormatting>
  <conditionalFormatting sqref="D47:E47">
    <cfRule type="expression" dxfId="62" priority="19" stopIfTrue="1">
      <formula>IF(AND(OR($D$29="Yes",$D$29=""),D47=""),1,0)</formula>
    </cfRule>
  </conditionalFormatting>
  <conditionalFormatting sqref="D8:J8">
    <cfRule type="expression" dxfId="61" priority="7" stopIfTrue="1">
      <formula>IF($D$8="",TRUE)</formula>
    </cfRule>
  </conditionalFormatting>
  <conditionalFormatting sqref="D10:J10">
    <cfRule type="expression" dxfId="60" priority="4" stopIfTrue="1">
      <formula>IF($D$9=$Q$9,TRUE)</formula>
    </cfRule>
    <cfRule type="expression" dxfId="59" priority="5" stopIfTrue="1">
      <formula>IF(AND($D$10="",$D$9=$R$9),TRUE)</formula>
    </cfRule>
  </conditionalFormatting>
  <conditionalFormatting sqref="D21:J21">
    <cfRule type="expression" dxfId="58" priority="3" stopIfTrue="1">
      <formula>IF($D$17="",TRUE)</formula>
    </cfRule>
  </conditionalFormatting>
  <conditionalFormatting sqref="G77:J77">
    <cfRule type="expression" dxfId="57" priority="1" stopIfTrue="1">
      <formula>IF(AND($D$77="Yes",$G$77=""),TRUE)</formula>
    </cfRule>
  </conditionalFormatting>
  <dataValidations count="8">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32:E35 D87:E87 D68:E71 D62:E65 D81:E81 D79:E79 D77:E77 D75:E75 D85:E85">
      <formula1>$B$96:$B$97</formula1>
    </dataValidation>
    <dataValidation type="list" allowBlank="1" showInputMessage="1" showErrorMessage="1" sqref="D38:E41 D44:E47 D50:E53">
      <formula1>$B$96:$B$98</formula1>
    </dataValidation>
    <dataValidation type="list" allowBlank="1" showInputMessage="1" showErrorMessage="1" sqref="D56:E59">
      <formula1>$B$99:$B$104</formula1>
    </dataValidation>
    <dataValidation type="list" allowBlank="1" showInputMessage="1" showErrorMessage="1" sqref="D83:E83">
      <formula1>$B$105:$B$107</formula1>
    </dataValidation>
    <dataValidation type="list" allowBlank="1" showInputMessage="1" showErrorMessage="1" sqref="D89:E89">
      <formula1>$B$108:$B$111</formula1>
    </dataValidation>
  </dataValidations>
  <hyperlinks>
    <hyperlink ref="I4:J4" location="Instructions!B71" display="Link to Terms &amp; Conditions"/>
    <hyperlink ref="B90:J90" location="Checker!A1" display="Checker!A1"/>
    <hyperlink ref="H67:J67" location="'Smelter List'!A1" display="'Smelter List'!A1"/>
    <hyperlink ref="D11:J11" location="'Product List'!B6" display="'Product List'!B6"/>
    <hyperlink ref="D16" r:id="rId3"/>
    <hyperlink ref="D20" r:id="rId4"/>
    <hyperlink ref="G77" r:id="rId5"/>
  </hyperlinks>
  <pageMargins left="0.70866141732283505" right="0.70866141732283505" top="0.74803149606299202" bottom="0.74803149606299202" header="0.31496062992126" footer="0.31496062992126"/>
  <pageSetup scale="41" fitToHeight="0" orientation="portrait" r:id="rId6"/>
  <rowBreaks count="1" manualBreakCount="1">
    <brk id="66" max="11" man="1"/>
  </rowBreaks>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H2508"/>
  <sheetViews>
    <sheetView showGridLines="0" showZeros="0" zoomScale="80" zoomScaleNormal="80" zoomScalePageLayoutView="55" workbookViewId="0">
      <pane ySplit="4" topLeftCell="A5" activePane="bottomLeft" state="frozen"/>
      <selection pane="bottomLeft"/>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7" t="str">
        <f ca="1">OFFSET(L!$C$1,MATCH("Smelter List"&amp;ADDRESS(ROW(),COLUMN(),4),L!$A:$A,0)-1,SL,,)</f>
        <v>Link to "RMAP Conformant Smelter List"</v>
      </c>
      <c r="K2" s="438"/>
      <c r="L2" s="438"/>
      <c r="M2" s="438"/>
      <c r="N2" s="438"/>
      <c r="O2" s="438"/>
      <c r="P2" s="234"/>
      <c r="Q2" s="235"/>
      <c r="R2" s="236"/>
      <c r="S2" s="236"/>
      <c r="T2" s="236"/>
      <c r="U2" s="267"/>
      <c r="V2" s="267"/>
      <c r="W2" s="268"/>
      <c r="X2" s="267"/>
      <c r="Y2" s="267"/>
      <c r="Z2" s="267"/>
      <c r="AH2" s="176" t="s">
        <v>498</v>
      </c>
    </row>
    <row r="3" spans="1:34" s="269" customFormat="1" ht="243.95" customHeight="1">
      <c r="A3" s="204"/>
      <c r="B3" s="439"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9"/>
      <c r="D3" s="439"/>
      <c r="E3" s="439"/>
      <c r="F3" s="270"/>
      <c r="G3" s="440" t="str">
        <f ca="1">OFFSET(L!$C$1,MATCH("General"&amp;"Cpy",L!$A:$A,0)-1,SL,,)</f>
        <v>© 2020 Responsible Minerals Initiative. All rights reserved.</v>
      </c>
      <c r="H3" s="440"/>
      <c r="I3" s="441"/>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47" t="s">
        <v>667</v>
      </c>
      <c r="B5" s="217" t="s">
        <v>1153</v>
      </c>
      <c r="C5" s="221" t="s">
        <v>54</v>
      </c>
      <c r="D5" s="348" t="s">
        <v>54</v>
      </c>
      <c r="E5" s="217" t="str">
        <f ca="1">IF(ISERROR($V5),"",OFFSET('Smelter Look-up'!$D$4,$V5-4,0)&amp;"")</f>
        <v>GERMANY</v>
      </c>
      <c r="F5" s="217" t="str">
        <f ca="1">IF(ISERROR($V5),"",OFFSET('Smelter Look-up'!$E$4,$V5-4,0))</f>
        <v>CID000035</v>
      </c>
      <c r="G5" s="217" t="str">
        <f ca="1">IF(C5=$X$4,"Enter smelter details",IF(ISERROR($V5),"",OFFSET('Smelter Look-up'!$F$4,$V5-4,0)))</f>
        <v>RMI</v>
      </c>
      <c r="H5" s="218">
        <f ca="1">IF(ISERROR($V5),"",OFFSET('Smelter Look-up'!$G$4,$V5-4,0))</f>
        <v>0</v>
      </c>
      <c r="I5" s="219" t="str">
        <f ca="1">IF(ISERROR($V5),"",OFFSET('Smelter Look-up'!$H$4,$V5-4,0))</f>
        <v>Pforzheim</v>
      </c>
      <c r="J5" s="219" t="str">
        <f ca="1">IF(ISERROR($V5),"",OFFSET('Smelter Look-up'!$I$4,$V5-4,0))</f>
        <v>Baden-Württemberg</v>
      </c>
      <c r="K5" s="273"/>
      <c r="L5" s="273"/>
      <c r="M5" s="273"/>
      <c r="N5" s="273"/>
      <c r="O5" s="273"/>
      <c r="P5" s="220"/>
      <c r="Q5" s="274"/>
      <c r="R5" s="217" t="str">
        <f ca="1">IF(ISERROR($V5),"",OFFSET('Smelter Look-up'!$C$4,$V5-4,0)&amp;"")</f>
        <v>Allgemeine Gold-und Silberscheideanstalt A.G.</v>
      </c>
      <c r="S5" s="225" t="str">
        <f t="shared" ref="S5" ca="1" si="0">IF(B5="","",IF(ISERROR(MATCH($E5,CL,0)),"Unknown",INDIRECT("'C'!$A$"&amp;MATCH($E5,CL,0)+1)))</f>
        <v>DE</v>
      </c>
      <c r="T5" s="225" t="str">
        <f ca="1">IF(B5="","",IF(ISERROR(MATCH($J5,SorP!$B$1:$B$6230,0)),"",INDIRECT("'SorP'!$A$"&amp;MATCH($J5,SorP!$B$1:$B$6230,0))))</f>
        <v>DE-BW</v>
      </c>
      <c r="U5" s="241"/>
      <c r="V5" s="275">
        <f>IF(C5="",NA(),MATCH($B5&amp;$C5,'Smelter Look-up'!$J:$J,0))</f>
        <v>14</v>
      </c>
      <c r="W5" s="276"/>
      <c r="X5" s="276">
        <f t="shared" ref="X5" ca="1" si="1">IF(AND(C5="Smelter not listed",OR(LEN(D5)=0,LEN(E5)=0)),1,0)</f>
        <v>0</v>
      </c>
      <c r="Y5" s="276"/>
      <c r="Z5" s="276"/>
      <c r="AB5" s="278" t="str">
        <f t="shared" ref="AB5" si="2">B5&amp;C5</f>
        <v>GoldAllgemeine Gold-und Silberscheideanstalt A.G.</v>
      </c>
    </row>
    <row r="6" spans="1:34" s="277" customFormat="1" ht="20.100000000000001" customHeight="1">
      <c r="A6" s="347" t="s">
        <v>669</v>
      </c>
      <c r="B6" s="217" t="s">
        <v>1153</v>
      </c>
      <c r="C6" s="221" t="s">
        <v>12755</v>
      </c>
      <c r="D6" s="348" t="s">
        <v>12755</v>
      </c>
      <c r="E6" s="217" t="str">
        <f ca="1">IF(ISERROR($V6),"",OFFSET('Smelter Look-up'!$D$4,$V6-4,0)&amp;"")</f>
        <v>BRAZIL</v>
      </c>
      <c r="F6" s="217" t="str">
        <f ca="1">IF(ISERROR($V6),"",OFFSET('Smelter Look-up'!$E$4,$V6-4,0))</f>
        <v>CID000058</v>
      </c>
      <c r="G6" s="217" t="str">
        <f ca="1">IF(C6=$X$4,"Enter smelter details",IF(ISERROR($V6),"",OFFSET('Smelter Look-up'!$F$4,$V6-4,0)))</f>
        <v>RMI</v>
      </c>
      <c r="H6" s="218">
        <f ca="1">IF(ISERROR($V6),"",OFFSET('Smelter Look-up'!$G$4,$V6-4,0))</f>
        <v>0</v>
      </c>
      <c r="I6" s="219" t="str">
        <f ca="1">IF(ISERROR($V6),"",OFFSET('Smelter Look-up'!$H$4,$V6-4,0))</f>
        <v>Nova Lima</v>
      </c>
      <c r="J6" s="219" t="str">
        <f ca="1">IF(ISERROR($V6),"",OFFSET('Smelter Look-up'!$I$4,$V6-4,0))</f>
        <v>Minas Gerais</v>
      </c>
      <c r="K6" s="273"/>
      <c r="L6" s="273"/>
      <c r="M6" s="273"/>
      <c r="N6" s="273"/>
      <c r="O6" s="273"/>
      <c r="P6" s="220"/>
      <c r="Q6" s="274"/>
      <c r="R6" s="217" t="str">
        <f ca="1">IF(ISERROR($V6),"",OFFSET('Smelter Look-up'!$C$4,$V6-4,0)&amp;"")</f>
        <v>AngloGold Ashanti Corrego do Sitio Mineracao</v>
      </c>
      <c r="S6" s="225" t="str">
        <f t="shared" ref="S6:S37" ca="1" si="3">IF(B6="","",IF(ISERROR(MATCH($E6,CL,0)),"Unknown",INDIRECT("'C'!$A$"&amp;MATCH($E6,CL,0)+1)))</f>
        <v>BR</v>
      </c>
      <c r="T6" s="225" t="str">
        <f ca="1">IF(B6="","",IF(ISERROR(MATCH($J6,SorP!$B$1:$B$6230,0)),"",INDIRECT("'SorP'!$A$"&amp;MATCH($J6,SorP!$B$1:$B$6230,0))))</f>
        <v>BR-MG</v>
      </c>
      <c r="U6" s="241"/>
      <c r="V6" s="275">
        <f>IF(C6="",NA(),MATCH($B6&amp;$C6,'Smelter Look-up'!$J:$J,0))</f>
        <v>18</v>
      </c>
      <c r="W6" s="276"/>
      <c r="X6" s="276">
        <f t="shared" ref="X6:X37" ca="1" si="4">IF(AND(C6="Smelter not listed",OR(LEN(D6)=0,LEN(E6)=0)),1,0)</f>
        <v>0</v>
      </c>
      <c r="Y6" s="276"/>
      <c r="Z6" s="276"/>
      <c r="AB6" s="278" t="str">
        <f t="shared" ref="AB6:AB37" si="5">B6&amp;C6</f>
        <v>GoldAngloGold Ashanti Corrego do Sitio Mineracao</v>
      </c>
    </row>
    <row r="7" spans="1:34" s="277" customFormat="1" ht="20.100000000000001" customHeight="1">
      <c r="A7" s="347" t="s">
        <v>670</v>
      </c>
      <c r="B7" s="217" t="str">
        <f ca="1">IF(LEN(A7)=0,"",INDEX('Smelter Look-up'!$A:$A,MATCH($A7,'Smelter Look-up'!$E:$E,0)))</f>
        <v>Gold</v>
      </c>
      <c r="C7" s="221" t="str">
        <f ca="1">IF(LEN(A7)=0,"",INDEX('Smelter Look-up'!$C:$C,MATCH($A7,'Smelter Look-up'!$E:$E,0)))</f>
        <v>Argor-Heraeus S.A.</v>
      </c>
      <c r="D7" s="348" t="s">
        <v>2409</v>
      </c>
      <c r="E7" s="217" t="str">
        <f ca="1">IF(ISERROR($V7),"",OFFSET('Smelter Look-up'!$D$4,$V7-4,0)&amp;"")</f>
        <v>SWITZERLAND</v>
      </c>
      <c r="F7" s="217" t="str">
        <f ca="1">IF(ISERROR($V7),"",OFFSET('Smelter Look-up'!$E$4,$V7-4,0))</f>
        <v>CID000077</v>
      </c>
      <c r="G7" s="217" t="str">
        <f ca="1">IF(C7=$X$4,"Enter smelter details",IF(ISERROR($V7),"",OFFSET('Smelter Look-up'!$F$4,$V7-4,0)))</f>
        <v>RMI</v>
      </c>
      <c r="H7" s="218">
        <f ca="1">IF(ISERROR($V7),"",OFFSET('Smelter Look-up'!$G$4,$V7-4,0))</f>
        <v>0</v>
      </c>
      <c r="I7" s="219" t="str">
        <f ca="1">IF(ISERROR($V7),"",OFFSET('Smelter Look-up'!$H$4,$V7-4,0))</f>
        <v>Mendrisio</v>
      </c>
      <c r="J7" s="219" t="str">
        <f ca="1">IF(ISERROR($V7),"",OFFSET('Smelter Look-up'!$I$4,$V7-4,0))</f>
        <v>Ticino</v>
      </c>
      <c r="K7" s="273"/>
      <c r="L7" s="273"/>
      <c r="M7" s="273"/>
      <c r="N7" s="273"/>
      <c r="O7" s="273"/>
      <c r="P7" s="220"/>
      <c r="Q7" s="274"/>
      <c r="R7" s="217" t="str">
        <f ca="1">IF(ISERROR($V7),"",OFFSET('Smelter Look-up'!$C$4,$V7-4,0)&amp;"")</f>
        <v>Argor-Heraeus S.A.</v>
      </c>
      <c r="S7" s="225" t="str">
        <f t="shared" ca="1" si="3"/>
        <v>CH</v>
      </c>
      <c r="T7" s="225" t="str">
        <f ca="1">IF(B7="","",IF(ISERROR(MATCH($J7,SorP!$B$1:$B$6230,0)),"",INDIRECT("'SorP'!$A$"&amp;MATCH($J7,SorP!$B$1:$B$6230,0))))</f>
        <v>CH-TI</v>
      </c>
      <c r="U7" s="241"/>
      <c r="V7" s="275">
        <f ca="1">IF(C7="",NA(),MATCH($B7&amp;$C7,'Smelter Look-up'!$J:$J,0))</f>
        <v>23</v>
      </c>
      <c r="W7" s="276"/>
      <c r="X7" s="276">
        <f t="shared" ca="1" si="4"/>
        <v>0</v>
      </c>
      <c r="Y7" s="276"/>
      <c r="Z7" s="276"/>
      <c r="AB7" s="278" t="str">
        <f t="shared" ca="1" si="5"/>
        <v>GoldArgor-Heraeus S.A.</v>
      </c>
    </row>
    <row r="8" spans="1:34" s="277" customFormat="1" ht="20.100000000000001" customHeight="1">
      <c r="A8" s="347" t="s">
        <v>811</v>
      </c>
      <c r="B8" s="217" t="str">
        <f ca="1">IF(LEN(A8)=0,"",INDEX('Smelter Look-up'!$A:$A,MATCH($A8,'Smelter Look-up'!$E:$E,0)))</f>
        <v>Tungsten</v>
      </c>
      <c r="C8" s="221" t="str">
        <f ca="1">IF(LEN(A8)=0,"",INDEX('Smelter Look-up'!$C:$C,MATCH($A8,'Smelter Look-up'!$E:$E,0)))</f>
        <v>Kennametal Huntsville</v>
      </c>
      <c r="D8" s="348" t="s">
        <v>151</v>
      </c>
      <c r="E8" s="217" t="str">
        <f ca="1">IF(ISERROR($V8),"",OFFSET('Smelter Look-up'!$D$4,$V8-4,0)&amp;"")</f>
        <v>UNITED STATES OF AMERICA</v>
      </c>
      <c r="F8" s="217" t="str">
        <f ca="1">IF(ISERROR($V8),"",OFFSET('Smelter Look-up'!$E$4,$V8-4,0))</f>
        <v>CID000105</v>
      </c>
      <c r="G8" s="217" t="str">
        <f ca="1">IF(C8=$X$4,"Enter smelter details",IF(ISERROR($V8),"",OFFSET('Smelter Look-up'!$F$4,$V8-4,0)))</f>
        <v>RMI</v>
      </c>
      <c r="H8" s="218">
        <f ca="1">IF(ISERROR($V8),"",OFFSET('Smelter Look-up'!$G$4,$V8-4,0))</f>
        <v>0</v>
      </c>
      <c r="I8" s="219" t="str">
        <f ca="1">IF(ISERROR($V8),"",OFFSET('Smelter Look-up'!$H$4,$V8-4,0))</f>
        <v>Huntsville</v>
      </c>
      <c r="J8" s="219" t="str">
        <f ca="1">IF(ISERROR($V8),"",OFFSET('Smelter Look-up'!$I$4,$V8-4,0))</f>
        <v>Alabama</v>
      </c>
      <c r="K8" s="273"/>
      <c r="L8" s="273"/>
      <c r="M8" s="273"/>
      <c r="N8" s="273"/>
      <c r="O8" s="273"/>
      <c r="P8" s="220"/>
      <c r="Q8" s="274"/>
      <c r="R8" s="217" t="str">
        <f ca="1">IF(ISERROR($V8),"",OFFSET('Smelter Look-up'!$C$4,$V8-4,0)&amp;"")</f>
        <v>Kennametal Huntsville</v>
      </c>
      <c r="S8" s="225" t="str">
        <f t="shared" ca="1" si="3"/>
        <v>US</v>
      </c>
      <c r="T8" s="225" t="str">
        <f ca="1">IF(B8="","",IF(ISERROR(MATCH($J8,SorP!$B$1:$B$6230,0)),"",INDIRECT("'SorP'!$A$"&amp;MATCH($J8,SorP!$B$1:$B$6230,0))))</f>
        <v>US-AL</v>
      </c>
      <c r="U8" s="241"/>
      <c r="V8" s="275">
        <f ca="1">IF(C8="",NA(),MATCH($B8&amp;$C8,'Smelter Look-up'!$J:$J,0))</f>
        <v>538</v>
      </c>
      <c r="W8" s="276"/>
      <c r="X8" s="276">
        <f t="shared" ca="1" si="4"/>
        <v>0</v>
      </c>
      <c r="Y8" s="276"/>
      <c r="Z8" s="276"/>
      <c r="AB8" s="278" t="str">
        <f t="shared" ca="1" si="5"/>
        <v>TungstenKennametal Huntsville</v>
      </c>
    </row>
    <row r="9" spans="1:34" s="277" customFormat="1" ht="20.100000000000001" customHeight="1">
      <c r="A9" s="347" t="s">
        <v>674</v>
      </c>
      <c r="B9" s="217" t="str">
        <f ca="1">IF(LEN(A9)=0,"",INDEX('Smelter Look-up'!$A:$A,MATCH($A9,'Smelter Look-up'!$E:$E,0)))</f>
        <v>Gold</v>
      </c>
      <c r="C9" s="221" t="str">
        <f ca="1">IF(LEN(A9)=0,"",INDEX('Smelter Look-up'!$C:$C,MATCH($A9,'Smelter Look-up'!$E:$E,0)))</f>
        <v>Aurubis AG</v>
      </c>
      <c r="D9" s="348" t="s">
        <v>1247</v>
      </c>
      <c r="E9" s="217" t="str">
        <f ca="1">IF(ISERROR($V9),"",OFFSET('Smelter Look-up'!$D$4,$V9-4,0)&amp;"")</f>
        <v>GERMANY</v>
      </c>
      <c r="F9" s="217" t="str">
        <f ca="1">IF(ISERROR($V9),"",OFFSET('Smelter Look-up'!$E$4,$V9-4,0))</f>
        <v>CID000113</v>
      </c>
      <c r="G9" s="217" t="str">
        <f ca="1">IF(C9=$X$4,"Enter smelter details",IF(ISERROR($V9),"",OFFSET('Smelter Look-up'!$F$4,$V9-4,0)))</f>
        <v>RMI</v>
      </c>
      <c r="H9" s="218">
        <f ca="1">IF(ISERROR($V9),"",OFFSET('Smelter Look-up'!$G$4,$V9-4,0))</f>
        <v>0</v>
      </c>
      <c r="I9" s="219" t="str">
        <f ca="1">IF(ISERROR($V9),"",OFFSET('Smelter Look-up'!$H$4,$V9-4,0))</f>
        <v>Hamburg</v>
      </c>
      <c r="J9" s="219" t="str">
        <f ca="1">IF(ISERROR($V9),"",OFFSET('Smelter Look-up'!$I$4,$V9-4,0))</f>
        <v>Hamburg</v>
      </c>
      <c r="K9" s="273"/>
      <c r="L9" s="273"/>
      <c r="M9" s="273"/>
      <c r="N9" s="273"/>
      <c r="O9" s="273"/>
      <c r="P9" s="220"/>
      <c r="Q9" s="274"/>
      <c r="R9" s="217" t="str">
        <f ca="1">IF(ISERROR($V9),"",OFFSET('Smelter Look-up'!$C$4,$V9-4,0)&amp;"")</f>
        <v>Aurubis AG</v>
      </c>
      <c r="S9" s="225" t="str">
        <f t="shared" ca="1" si="3"/>
        <v>DE</v>
      </c>
      <c r="T9" s="225" t="str">
        <f ca="1">IF(B9="","",IF(ISERROR(MATCH($J9,SorP!$B$1:$B$6230,0)),"",INDIRECT("'SorP'!$A$"&amp;MATCH($J9,SorP!$B$1:$B$6230,0))))</f>
        <v>DE-HH</v>
      </c>
      <c r="U9" s="241"/>
      <c r="V9" s="275">
        <f ca="1">IF(C9="",NA(),MATCH($B9&amp;$C9,'Smelter Look-up'!$J:$J,0))</f>
        <v>32</v>
      </c>
      <c r="W9" s="276"/>
      <c r="X9" s="276">
        <f t="shared" ca="1" si="4"/>
        <v>0</v>
      </c>
      <c r="Y9" s="276"/>
      <c r="Z9" s="276"/>
      <c r="AB9" s="278" t="str">
        <f t="shared" ca="1" si="5"/>
        <v>GoldAurubis AG</v>
      </c>
    </row>
    <row r="10" spans="1:34" s="277" customFormat="1" ht="20.100000000000001" customHeight="1">
      <c r="A10" s="347" t="s">
        <v>676</v>
      </c>
      <c r="B10" s="217" t="str">
        <f ca="1">IF(LEN(A10)=0,"",INDEX('Smelter Look-up'!$A:$A,MATCH($A10,'Smelter Look-up'!$E:$E,0)))</f>
        <v>Gold</v>
      </c>
      <c r="C10" s="221" t="str">
        <f ca="1">IF(LEN(A10)=0,"",INDEX('Smelter Look-up'!$C:$C,MATCH($A10,'Smelter Look-up'!$E:$E,0)))</f>
        <v>Boliden AB</v>
      </c>
      <c r="D10" s="348" t="s">
        <v>1249</v>
      </c>
      <c r="E10" s="217" t="str">
        <f ca="1">IF(ISERROR($V10),"",OFFSET('Smelter Look-up'!$D$4,$V10-4,0)&amp;"")</f>
        <v>SWEDEN</v>
      </c>
      <c r="F10" s="217" t="str">
        <f ca="1">IF(ISERROR($V10),"",OFFSET('Smelter Look-up'!$E$4,$V10-4,0))</f>
        <v>CID000157</v>
      </c>
      <c r="G10" s="217" t="str">
        <f ca="1">IF(C10=$X$4,"Enter smelter details",IF(ISERROR($V10),"",OFFSET('Smelter Look-up'!$F$4,$V10-4,0)))</f>
        <v>RMI</v>
      </c>
      <c r="H10" s="218">
        <f ca="1">IF(ISERROR($V10),"",OFFSET('Smelter Look-up'!$G$4,$V10-4,0))</f>
        <v>0</v>
      </c>
      <c r="I10" s="219" t="str">
        <f ca="1">IF(ISERROR($V10),"",OFFSET('Smelter Look-up'!$H$4,$V10-4,0))</f>
        <v>Skelleftehamn</v>
      </c>
      <c r="J10" s="219" t="str">
        <f ca="1">IF(ISERROR($V10),"",OFFSET('Smelter Look-up'!$I$4,$V10-4,0))</f>
        <v>Västerbottens län [SE-24]</v>
      </c>
      <c r="K10" s="273"/>
      <c r="L10" s="273"/>
      <c r="M10" s="273"/>
      <c r="N10" s="273"/>
      <c r="O10" s="273"/>
      <c r="P10" s="220"/>
      <c r="Q10" s="274"/>
      <c r="R10" s="217" t="str">
        <f ca="1">IF(ISERROR($V10),"",OFFSET('Smelter Look-up'!$C$4,$V10-4,0)&amp;"")</f>
        <v>Boliden AB</v>
      </c>
      <c r="S10" s="225" t="str">
        <f t="shared" ca="1" si="3"/>
        <v>SE</v>
      </c>
      <c r="T10" s="225" t="str">
        <f ca="1">IF(B10="","",IF(ISERROR(MATCH($J10,SorP!$B$1:$B$6230,0)),"",INDIRECT("'SorP'!$A$"&amp;MATCH($J10,SorP!$B$1:$B$6230,0))))</f>
        <v>SE-AC</v>
      </c>
      <c r="U10" s="241"/>
      <c r="V10" s="275">
        <f ca="1">IF(C10="",NA(),MATCH($B10&amp;$C10,'Smelter Look-up'!$J:$J,0))</f>
        <v>37</v>
      </c>
      <c r="W10" s="276"/>
      <c r="X10" s="276">
        <f t="shared" ca="1" si="4"/>
        <v>0</v>
      </c>
      <c r="Y10" s="276"/>
      <c r="Z10" s="276"/>
      <c r="AB10" s="278" t="str">
        <f t="shared" ca="1" si="5"/>
        <v>GoldBoliden AB</v>
      </c>
    </row>
    <row r="11" spans="1:34" s="277" customFormat="1" ht="20.100000000000001" customHeight="1">
      <c r="A11" s="347" t="s">
        <v>678</v>
      </c>
      <c r="B11" s="217" t="str">
        <f ca="1">IF(LEN(A11)=0,"",INDEX('Smelter Look-up'!$A:$A,MATCH($A11,'Smelter Look-up'!$E:$E,0)))</f>
        <v>Gold</v>
      </c>
      <c r="C11" s="221" t="str">
        <f ca="1">IF(LEN(A11)=0,"",INDEX('Smelter Look-up'!$C:$C,MATCH($A11,'Smelter Look-up'!$E:$E,0)))</f>
        <v>C. Hafner GmbH + Co. KG</v>
      </c>
      <c r="D11" s="348" t="s">
        <v>677</v>
      </c>
      <c r="E11" s="217" t="str">
        <f ca="1">IF(ISERROR($V11),"",OFFSET('Smelter Look-up'!$D$4,$V11-4,0)&amp;"")</f>
        <v>GERMANY</v>
      </c>
      <c r="F11" s="217" t="str">
        <f ca="1">IF(ISERROR($V11),"",OFFSET('Smelter Look-up'!$E$4,$V11-4,0))</f>
        <v>CID000176</v>
      </c>
      <c r="G11" s="217" t="str">
        <f ca="1">IF(C11=$X$4,"Enter smelter details",IF(ISERROR($V11),"",OFFSET('Smelter Look-up'!$F$4,$V11-4,0)))</f>
        <v>RMI</v>
      </c>
      <c r="H11" s="218">
        <f ca="1">IF(ISERROR($V11),"",OFFSET('Smelter Look-up'!$G$4,$V11-4,0))</f>
        <v>0</v>
      </c>
      <c r="I11" s="219" t="str">
        <f ca="1">IF(ISERROR($V11),"",OFFSET('Smelter Look-up'!$H$4,$V11-4,0))</f>
        <v>Pforzheim</v>
      </c>
      <c r="J11" s="219" t="str">
        <f ca="1">IF(ISERROR($V11),"",OFFSET('Smelter Look-up'!$I$4,$V11-4,0))</f>
        <v>Baden-Württemberg</v>
      </c>
      <c r="K11" s="273"/>
      <c r="L11" s="273"/>
      <c r="M11" s="273"/>
      <c r="N11" s="273"/>
      <c r="O11" s="273"/>
      <c r="P11" s="220"/>
      <c r="Q11" s="274"/>
      <c r="R11" s="217" t="str">
        <f ca="1">IF(ISERROR($V11),"",OFFSET('Smelter Look-up'!$C$4,$V11-4,0)&amp;"")</f>
        <v>C. Hafner GmbH + Co. KG</v>
      </c>
      <c r="S11" s="225" t="str">
        <f t="shared" ca="1" si="3"/>
        <v>DE</v>
      </c>
      <c r="T11" s="225" t="str">
        <f ca="1">IF(B11="","",IF(ISERROR(MATCH($J11,SorP!$B$1:$B$6230,0)),"",INDIRECT("'SorP'!$A$"&amp;MATCH($J11,SorP!$B$1:$B$6230,0))))</f>
        <v>DE-BW</v>
      </c>
      <c r="U11" s="241"/>
      <c r="V11" s="275">
        <f ca="1">IF(C11="",NA(),MATCH($B11&amp;$C11,'Smelter Look-up'!$J:$J,0))</f>
        <v>38</v>
      </c>
      <c r="W11" s="276"/>
      <c r="X11" s="276">
        <f t="shared" ca="1" si="4"/>
        <v>0</v>
      </c>
      <c r="Y11" s="276"/>
      <c r="Z11" s="276"/>
      <c r="AB11" s="278" t="str">
        <f t="shared" ca="1" si="5"/>
        <v>GoldC. Hafner GmbH + Co. KG</v>
      </c>
    </row>
    <row r="12" spans="1:34" s="277" customFormat="1" ht="20.100000000000001" customHeight="1">
      <c r="A12" s="347" t="s">
        <v>680</v>
      </c>
      <c r="B12" s="217" t="str">
        <f ca="1">IF(LEN(A12)=0,"",INDEX('Smelter Look-up'!$A:$A,MATCH($A12,'Smelter Look-up'!$E:$E,0)))</f>
        <v>Gold</v>
      </c>
      <c r="C12" s="221" t="str">
        <f ca="1">IF(LEN(A12)=0,"",INDEX('Smelter Look-up'!$C:$C,MATCH($A12,'Smelter Look-up'!$E:$E,0)))</f>
        <v>CCR Refinery - Glencore Canada Corporation</v>
      </c>
      <c r="D12" s="348" t="s">
        <v>2352</v>
      </c>
      <c r="E12" s="217" t="str">
        <f ca="1">IF(ISERROR($V12),"",OFFSET('Smelter Look-up'!$D$4,$V12-4,0)&amp;"")</f>
        <v>CANADA</v>
      </c>
      <c r="F12" s="217" t="str">
        <f ca="1">IF(ISERROR($V12),"",OFFSET('Smelter Look-up'!$E$4,$V12-4,0))</f>
        <v>CID000185</v>
      </c>
      <c r="G12" s="217" t="str">
        <f ca="1">IF(C12=$X$4,"Enter smelter details",IF(ISERROR($V12),"",OFFSET('Smelter Look-up'!$F$4,$V12-4,0)))</f>
        <v>RMI</v>
      </c>
      <c r="H12" s="218">
        <f ca="1">IF(ISERROR($V12),"",OFFSET('Smelter Look-up'!$G$4,$V12-4,0))</f>
        <v>0</v>
      </c>
      <c r="I12" s="219" t="str">
        <f ca="1">IF(ISERROR($V12),"",OFFSET('Smelter Look-up'!$H$4,$V12-4,0))</f>
        <v>Montréal</v>
      </c>
      <c r="J12" s="219" t="str">
        <f ca="1">IF(ISERROR($V12),"",OFFSET('Smelter Look-up'!$I$4,$V12-4,0))</f>
        <v>Quebec</v>
      </c>
      <c r="K12" s="273"/>
      <c r="L12" s="273"/>
      <c r="M12" s="273"/>
      <c r="N12" s="273"/>
      <c r="O12" s="273"/>
      <c r="P12" s="220"/>
      <c r="Q12" s="274"/>
      <c r="R12" s="217" t="str">
        <f ca="1">IF(ISERROR($V12),"",OFFSET('Smelter Look-up'!$C$4,$V12-4,0)&amp;"")</f>
        <v>CCR Refinery - Glencore Canada Corporation</v>
      </c>
      <c r="S12" s="225" t="str">
        <f t="shared" ca="1" si="3"/>
        <v>CA</v>
      </c>
      <c r="T12" s="225" t="str">
        <f ca="1">IF(B12="","",IF(ISERROR(MATCH($J12,SorP!$B$1:$B$6230,0)),"",INDIRECT("'SorP'!$A$"&amp;MATCH($J12,SorP!$B$1:$B$6230,0))))</f>
        <v>CA-QC</v>
      </c>
      <c r="U12" s="241"/>
      <c r="V12" s="275">
        <f ca="1">IF(C12="",NA(),MATCH($B12&amp;$C12,'Smelter Look-up'!$J:$J,0))</f>
        <v>43</v>
      </c>
      <c r="W12" s="276"/>
      <c r="X12" s="276">
        <f t="shared" ca="1" si="4"/>
        <v>0</v>
      </c>
      <c r="Y12" s="276"/>
      <c r="Z12" s="276"/>
      <c r="AB12" s="278" t="str">
        <f t="shared" ca="1" si="5"/>
        <v>GoldCCR Refinery - Glencore Canada Corporation</v>
      </c>
    </row>
    <row r="13" spans="1:34" s="277" customFormat="1" ht="20.100000000000001" customHeight="1">
      <c r="A13" s="347" t="s">
        <v>682</v>
      </c>
      <c r="B13" s="217" t="str">
        <f ca="1">IF(LEN(A13)=0,"",INDEX('Smelter Look-up'!$A:$A,MATCH($A13,'Smelter Look-up'!$E:$E,0)))</f>
        <v>Gold</v>
      </c>
      <c r="C13" s="221" t="str">
        <f ca="1">IF(LEN(A13)=0,"",INDEX('Smelter Look-up'!$C:$C,MATCH($A13,'Smelter Look-up'!$E:$E,0)))</f>
        <v>Chimet S.p.A.</v>
      </c>
      <c r="D13" s="348" t="s">
        <v>55</v>
      </c>
      <c r="E13" s="217" t="str">
        <f ca="1">IF(ISERROR($V13),"",OFFSET('Smelter Look-up'!$D$4,$V13-4,0)&amp;"")</f>
        <v>ITALY</v>
      </c>
      <c r="F13" s="217" t="str">
        <f ca="1">IF(ISERROR($V13),"",OFFSET('Smelter Look-up'!$E$4,$V13-4,0))</f>
        <v>CID000233</v>
      </c>
      <c r="G13" s="217" t="str">
        <f ca="1">IF(C13=$X$4,"Enter smelter details",IF(ISERROR($V13),"",OFFSET('Smelter Look-up'!$F$4,$V13-4,0)))</f>
        <v>RMI</v>
      </c>
      <c r="H13" s="218">
        <f ca="1">IF(ISERROR($V13),"",OFFSET('Smelter Look-up'!$G$4,$V13-4,0))</f>
        <v>0</v>
      </c>
      <c r="I13" s="219" t="str">
        <f ca="1">IF(ISERROR($V13),"",OFFSET('Smelter Look-up'!$H$4,$V13-4,0))</f>
        <v>Arezzo</v>
      </c>
      <c r="J13" s="219" t="str">
        <f ca="1">IF(ISERROR($V13),"",OFFSET('Smelter Look-up'!$I$4,$V13-4,0))</f>
        <v>Toscana</v>
      </c>
      <c r="K13" s="273"/>
      <c r="L13" s="273"/>
      <c r="M13" s="273"/>
      <c r="N13" s="273"/>
      <c r="O13" s="273"/>
      <c r="P13" s="220"/>
      <c r="Q13" s="274"/>
      <c r="R13" s="217" t="str">
        <f ca="1">IF(ISERROR($V13),"",OFFSET('Smelter Look-up'!$C$4,$V13-4,0)&amp;"")</f>
        <v>Chimet S.p.A.</v>
      </c>
      <c r="S13" s="225" t="str">
        <f t="shared" ca="1" si="3"/>
        <v>IT</v>
      </c>
      <c r="T13" s="225" t="str">
        <f ca="1">IF(B13="","",IF(ISERROR(MATCH($J13,SorP!$B$1:$B$6230,0)),"",INDIRECT("'SorP'!$A$"&amp;MATCH($J13,SorP!$B$1:$B$6230,0))))</f>
        <v>IT-52</v>
      </c>
      <c r="U13" s="241"/>
      <c r="V13" s="275">
        <f ca="1">IF(C13="",NA(),MATCH($B13&amp;$C13,'Smelter Look-up'!$J:$J,0))</f>
        <v>51</v>
      </c>
      <c r="W13" s="276"/>
      <c r="X13" s="276">
        <f t="shared" ca="1" si="4"/>
        <v>0</v>
      </c>
      <c r="Y13" s="276"/>
      <c r="Z13" s="276"/>
      <c r="AB13" s="278" t="str">
        <f t="shared" ca="1" si="5"/>
        <v>GoldChimet S.p.A.</v>
      </c>
    </row>
    <row r="14" spans="1:34" s="277" customFormat="1" ht="20.100000000000001" customHeight="1">
      <c r="A14" s="347" t="s">
        <v>689</v>
      </c>
      <c r="B14" s="217" t="str">
        <f ca="1">IF(LEN(A14)=0,"",INDEX('Smelter Look-up'!$A:$A,MATCH($A14,'Smelter Look-up'!$E:$E,0)))</f>
        <v>Gold</v>
      </c>
      <c r="C14" s="221" t="str">
        <f ca="1">IF(LEN(A14)=0,"",INDEX('Smelter Look-up'!$C:$C,MATCH($A14,'Smelter Look-up'!$E:$E,0)))</f>
        <v>Dowa</v>
      </c>
      <c r="D14" s="348" t="s">
        <v>929</v>
      </c>
      <c r="E14" s="217" t="str">
        <f ca="1">IF(ISERROR($V14),"",OFFSET('Smelter Look-up'!$D$4,$V14-4,0)&amp;"")</f>
        <v>JAPAN</v>
      </c>
      <c r="F14" s="217" t="str">
        <f ca="1">IF(ISERROR($V14),"",OFFSET('Smelter Look-up'!$E$4,$V14-4,0))</f>
        <v>CID000401</v>
      </c>
      <c r="G14" s="217" t="str">
        <f ca="1">IF(C14=$X$4,"Enter smelter details",IF(ISERROR($V14),"",OFFSET('Smelter Look-up'!$F$4,$V14-4,0)))</f>
        <v>RMI</v>
      </c>
      <c r="H14" s="218">
        <f ca="1">IF(ISERROR($V14),"",OFFSET('Smelter Look-up'!$G$4,$V14-4,0))</f>
        <v>0</v>
      </c>
      <c r="I14" s="219" t="str">
        <f ca="1">IF(ISERROR($V14),"",OFFSET('Smelter Look-up'!$H$4,$V14-4,0))</f>
        <v>Kosaka</v>
      </c>
      <c r="J14" s="219" t="str">
        <f ca="1">IF(ISERROR($V14),"",OFFSET('Smelter Look-up'!$I$4,$V14-4,0))</f>
        <v>Akita</v>
      </c>
      <c r="K14" s="273"/>
      <c r="L14" s="273"/>
      <c r="M14" s="273"/>
      <c r="N14" s="273"/>
      <c r="O14" s="273"/>
      <c r="P14" s="220"/>
      <c r="Q14" s="274"/>
      <c r="R14" s="217" t="str">
        <f ca="1">IF(ISERROR($V14),"",OFFSET('Smelter Look-up'!$C$4,$V14-4,0)&amp;"")</f>
        <v>Dowa</v>
      </c>
      <c r="S14" s="225" t="str">
        <f t="shared" ca="1" si="3"/>
        <v>JP</v>
      </c>
      <c r="T14" s="225" t="str">
        <f ca="1">IF(B14="","",IF(ISERROR(MATCH($J14,SorP!$B$1:$B$6230,0)),"",INDIRECT("'SorP'!$A$"&amp;MATCH($J14,SorP!$B$1:$B$6230,0))))</f>
        <v>JP-05</v>
      </c>
      <c r="U14" s="241"/>
      <c r="V14" s="275">
        <f ca="1">IF(C14="",NA(),MATCH($B14&amp;$C14,'Smelter Look-up'!$J:$J,0))</f>
        <v>63</v>
      </c>
      <c r="W14" s="276"/>
      <c r="X14" s="276">
        <f t="shared" ca="1" si="4"/>
        <v>0</v>
      </c>
      <c r="Y14" s="276"/>
      <c r="Z14" s="276"/>
      <c r="AB14" s="278" t="str">
        <f t="shared" ca="1" si="5"/>
        <v>GoldDowa</v>
      </c>
    </row>
    <row r="15" spans="1:34" s="277" customFormat="1" ht="20.100000000000001" customHeight="1">
      <c r="A15" s="347" t="s">
        <v>784</v>
      </c>
      <c r="B15" s="217" t="str">
        <f ca="1">IF(LEN(A15)=0,"",INDEX('Smelter Look-up'!$A:$A,MATCH($A15,'Smelter Look-up'!$E:$E,0)))</f>
        <v>Tin</v>
      </c>
      <c r="C15" s="221" t="str">
        <f ca="1">IF(LEN(A15)=0,"",INDEX('Smelter Look-up'!$C:$C,MATCH($A15,'Smelter Look-up'!$E:$E,0)))</f>
        <v>EM Vinto</v>
      </c>
      <c r="D15" s="348" t="s">
        <v>865</v>
      </c>
      <c r="E15" s="217" t="str">
        <f ca="1">IF(ISERROR($V15),"",OFFSET('Smelter Look-up'!$D$4,$V15-4,0)&amp;"")</f>
        <v>BOLIVIA (PLURINATIONAL STATE OF)</v>
      </c>
      <c r="F15" s="217" t="str">
        <f ca="1">IF(ISERROR($V15),"",OFFSET('Smelter Look-up'!$E$4,$V15-4,0))</f>
        <v>CID000438</v>
      </c>
      <c r="G15" s="217" t="str">
        <f ca="1">IF(C15=$X$4,"Enter smelter details",IF(ISERROR($V15),"",OFFSET('Smelter Look-up'!$F$4,$V15-4,0)))</f>
        <v>RMI</v>
      </c>
      <c r="H15" s="218">
        <f ca="1">IF(ISERROR($V15),"",OFFSET('Smelter Look-up'!$G$4,$V15-4,0))</f>
        <v>0</v>
      </c>
      <c r="I15" s="219" t="str">
        <f ca="1">IF(ISERROR($V15),"",OFFSET('Smelter Look-up'!$H$4,$V15-4,0))</f>
        <v>Oruro</v>
      </c>
      <c r="J15" s="219" t="str">
        <f ca="1">IF(ISERROR($V15),"",OFFSET('Smelter Look-up'!$I$4,$V15-4,0))</f>
        <v>Oruro</v>
      </c>
      <c r="K15" s="273"/>
      <c r="L15" s="273"/>
      <c r="M15" s="273"/>
      <c r="N15" s="273"/>
      <c r="O15" s="273"/>
      <c r="P15" s="220"/>
      <c r="Q15" s="274"/>
      <c r="R15" s="217" t="str">
        <f ca="1">IF(ISERROR($V15),"",OFFSET('Smelter Look-up'!$C$4,$V15-4,0)&amp;"")</f>
        <v>EM Vinto</v>
      </c>
      <c r="S15" s="225" t="str">
        <f t="shared" ca="1" si="3"/>
        <v>BO</v>
      </c>
      <c r="T15" s="225" t="str">
        <f ca="1">IF(B15="","",IF(ISERROR(MATCH($J15,SorP!$B$1:$B$6230,0)),"",INDIRECT("'SorP'!$A$"&amp;MATCH($J15,SorP!$B$1:$B$6230,0))))</f>
        <v>BO-O</v>
      </c>
      <c r="U15" s="241"/>
      <c r="V15" s="275">
        <f ca="1">IF(C15="",NA(),MATCH($B15&amp;$C15,'Smelter Look-up'!$J:$J,0))</f>
        <v>377</v>
      </c>
      <c r="W15" s="276"/>
      <c r="X15" s="276">
        <f t="shared" ca="1" si="4"/>
        <v>0</v>
      </c>
      <c r="Y15" s="276"/>
      <c r="Z15" s="276"/>
      <c r="AB15" s="278" t="str">
        <f t="shared" ca="1" si="5"/>
        <v>TinEM Vinto</v>
      </c>
    </row>
    <row r="16" spans="1:34" s="277" customFormat="1" ht="20.100000000000001" customHeight="1">
      <c r="A16" s="347" t="s">
        <v>765</v>
      </c>
      <c r="B16" s="217" t="str">
        <f ca="1">IF(LEN(A16)=0,"",INDEX('Smelter Look-up'!$A:$A,MATCH($A16,'Smelter Look-up'!$E:$E,0)))</f>
        <v>Tantalum</v>
      </c>
      <c r="C16" s="221" t="str">
        <f ca="1">IF(LEN(A16)=0,"",INDEX('Smelter Look-up'!$C:$C,MATCH($A16,'Smelter Look-up'!$E:$E,0)))</f>
        <v>Exotech Inc.</v>
      </c>
      <c r="D16" s="348" t="s">
        <v>1141</v>
      </c>
      <c r="E16" s="217" t="str">
        <f ca="1">IF(ISERROR($V16),"",OFFSET('Smelter Look-up'!$D$4,$V16-4,0)&amp;"")</f>
        <v>UNITED STATES OF AMERICA</v>
      </c>
      <c r="F16" s="217" t="str">
        <f ca="1">IF(ISERROR($V16),"",OFFSET('Smelter Look-up'!$E$4,$V16-4,0))</f>
        <v>CID000456</v>
      </c>
      <c r="G16" s="217" t="str">
        <f ca="1">IF(C16=$X$4,"Enter smelter details",IF(ISERROR($V16),"",OFFSET('Smelter Look-up'!$F$4,$V16-4,0)))</f>
        <v>RMI</v>
      </c>
      <c r="H16" s="218">
        <f ca="1">IF(ISERROR($V16),"",OFFSET('Smelter Look-up'!$G$4,$V16-4,0))</f>
        <v>0</v>
      </c>
      <c r="I16" s="219" t="str">
        <f ca="1">IF(ISERROR($V16),"",OFFSET('Smelter Look-up'!$H$4,$V16-4,0))</f>
        <v>Pompano Beach</v>
      </c>
      <c r="J16" s="219" t="str">
        <f ca="1">IF(ISERROR($V16),"",OFFSET('Smelter Look-up'!$I$4,$V16-4,0))</f>
        <v>Florida</v>
      </c>
      <c r="K16" s="273"/>
      <c r="L16" s="273"/>
      <c r="M16" s="273"/>
      <c r="N16" s="273"/>
      <c r="O16" s="273"/>
      <c r="P16" s="220"/>
      <c r="Q16" s="274"/>
      <c r="R16" s="217" t="str">
        <f ca="1">IF(ISERROR($V16),"",OFFSET('Smelter Look-up'!$C$4,$V16-4,0)&amp;"")</f>
        <v>Exotech Inc.</v>
      </c>
      <c r="S16" s="225" t="str">
        <f t="shared" ca="1" si="3"/>
        <v>US</v>
      </c>
      <c r="T16" s="225" t="str">
        <f ca="1">IF(B16="","",IF(ISERROR(MATCH($J16,SorP!$B$1:$B$6230,0)),"",INDIRECT("'SorP'!$A$"&amp;MATCH($J16,SorP!$B$1:$B$6230,0))))</f>
        <v>US-FL</v>
      </c>
      <c r="U16" s="241"/>
      <c r="V16" s="275">
        <f ca="1">IF(C16="",NA(),MATCH($B16&amp;$C16,'Smelter Look-up'!$J:$J,0))</f>
        <v>300</v>
      </c>
      <c r="W16" s="276"/>
      <c r="X16" s="276">
        <f t="shared" ca="1" si="4"/>
        <v>0</v>
      </c>
      <c r="Y16" s="276"/>
      <c r="Z16" s="276"/>
      <c r="AB16" s="278" t="str">
        <f t="shared" ca="1" si="5"/>
        <v>TantalumExotech Inc.</v>
      </c>
    </row>
    <row r="17" spans="1:28" s="277" customFormat="1" ht="20.100000000000001" customHeight="1">
      <c r="A17" s="347" t="s">
        <v>766</v>
      </c>
      <c r="B17" s="217" t="str">
        <f ca="1">IF(LEN(A17)=0,"",INDEX('Smelter Look-up'!$A:$A,MATCH($A17,'Smelter Look-up'!$E:$E,0)))</f>
        <v>Tantalum</v>
      </c>
      <c r="C17" s="221" t="str">
        <f ca="1">IF(LEN(A17)=0,"",INDEX('Smelter Look-up'!$C:$C,MATCH($A17,'Smelter Look-up'!$E:$E,0)))</f>
        <v>F&amp;X Electro-Materials Ltd.</v>
      </c>
      <c r="D17" s="348" t="s">
        <v>47</v>
      </c>
      <c r="E17" s="217" t="str">
        <f ca="1">IF(ISERROR($V17),"",OFFSET('Smelter Look-up'!$D$4,$V17-4,0)&amp;"")</f>
        <v>CHINA</v>
      </c>
      <c r="F17" s="217" t="str">
        <f ca="1">IF(ISERROR($V17),"",OFFSET('Smelter Look-up'!$E$4,$V17-4,0))</f>
        <v>CID000460</v>
      </c>
      <c r="G17" s="217" t="str">
        <f ca="1">IF(C17=$X$4,"Enter smelter details",IF(ISERROR($V17),"",OFFSET('Smelter Look-up'!$F$4,$V17-4,0)))</f>
        <v>RMI</v>
      </c>
      <c r="H17" s="218">
        <f ca="1">IF(ISERROR($V17),"",OFFSET('Smelter Look-up'!$G$4,$V17-4,0))</f>
        <v>0</v>
      </c>
      <c r="I17" s="219" t="str">
        <f ca="1">IF(ISERROR($V17),"",OFFSET('Smelter Look-up'!$H$4,$V17-4,0))</f>
        <v>Jiangmen</v>
      </c>
      <c r="J17" s="219" t="str">
        <f ca="1">IF(ISERROR($V17),"",OFFSET('Smelter Look-up'!$I$4,$V17-4,0))</f>
        <v>Guangdong Sheng</v>
      </c>
      <c r="K17" s="273"/>
      <c r="L17" s="273"/>
      <c r="M17" s="273"/>
      <c r="N17" s="273"/>
      <c r="O17" s="273"/>
      <c r="P17" s="220"/>
      <c r="Q17" s="274"/>
      <c r="R17" s="217" t="str">
        <f ca="1">IF(ISERROR($V17),"",OFFSET('Smelter Look-up'!$C$4,$V17-4,0)&amp;"")</f>
        <v>F&amp;X Electro-Materials Ltd.</v>
      </c>
      <c r="S17" s="225" t="str">
        <f t="shared" ca="1" si="3"/>
        <v>CN</v>
      </c>
      <c r="T17" s="225" t="str">
        <f ca="1">IF(B17="","",IF(ISERROR(MATCH($J17,SorP!$B$1:$B$6230,0)),"",INDIRECT("'SorP'!$A$"&amp;MATCH($J17,SorP!$B$1:$B$6230,0))))</f>
        <v>CN-GD</v>
      </c>
      <c r="U17" s="241"/>
      <c r="V17" s="275">
        <f ca="1">IF(C17="",NA(),MATCH($B17&amp;$C17,'Smelter Look-up'!$J:$J,0))</f>
        <v>302</v>
      </c>
      <c r="W17" s="276"/>
      <c r="X17" s="276">
        <f t="shared" ca="1" si="4"/>
        <v>0</v>
      </c>
      <c r="Y17" s="276"/>
      <c r="Z17" s="276"/>
      <c r="AB17" s="278" t="str">
        <f t="shared" ca="1" si="5"/>
        <v>TantalumF&amp;X Electro-Materials Ltd.</v>
      </c>
    </row>
    <row r="18" spans="1:28" s="277" customFormat="1" ht="20.100000000000001" customHeight="1">
      <c r="A18" s="347" t="s">
        <v>786</v>
      </c>
      <c r="B18" s="217" t="str">
        <f ca="1">IF(LEN(A18)=0,"",INDEX('Smelter Look-up'!$A:$A,MATCH($A18,'Smelter Look-up'!$E:$E,0)))</f>
        <v>Tin</v>
      </c>
      <c r="C18" s="221" t="str">
        <f ca="1">IF(LEN(A18)=0,"",INDEX('Smelter Look-up'!$C:$C,MATCH($A18,'Smelter Look-up'!$E:$E,0)))</f>
        <v>Fenix Metals</v>
      </c>
      <c r="D18" s="348" t="s">
        <v>836</v>
      </c>
      <c r="E18" s="217" t="str">
        <f ca="1">IF(ISERROR($V18),"",OFFSET('Smelter Look-up'!$D$4,$V18-4,0)&amp;"")</f>
        <v>POLAND</v>
      </c>
      <c r="F18" s="217" t="str">
        <f ca="1">IF(ISERROR($V18),"",OFFSET('Smelter Look-up'!$E$4,$V18-4,0))</f>
        <v>CID000468</v>
      </c>
      <c r="G18" s="217" t="str">
        <f ca="1">IF(C18=$X$4,"Enter smelter details",IF(ISERROR($V18),"",OFFSET('Smelter Look-up'!$F$4,$V18-4,0)))</f>
        <v>RMI</v>
      </c>
      <c r="H18" s="218">
        <f ca="1">IF(ISERROR($V18),"",OFFSET('Smelter Look-up'!$G$4,$V18-4,0))</f>
        <v>0</v>
      </c>
      <c r="I18" s="219" t="str">
        <f ca="1">IF(ISERROR($V18),"",OFFSET('Smelter Look-up'!$H$4,$V18-4,0))</f>
        <v>Chmielów</v>
      </c>
      <c r="J18" s="219" t="str">
        <f ca="1">IF(ISERROR($V18),"",OFFSET('Smelter Look-up'!$I$4,$V18-4,0))</f>
        <v>Podkarpackie</v>
      </c>
      <c r="K18" s="273"/>
      <c r="L18" s="273"/>
      <c r="M18" s="273"/>
      <c r="N18" s="273"/>
      <c r="O18" s="273"/>
      <c r="P18" s="220"/>
      <c r="Q18" s="274"/>
      <c r="R18" s="217" t="str">
        <f ca="1">IF(ISERROR($V18),"",OFFSET('Smelter Look-up'!$C$4,$V18-4,0)&amp;"")</f>
        <v>Fenix Metals</v>
      </c>
      <c r="S18" s="225" t="str">
        <f t="shared" ca="1" si="3"/>
        <v>PL</v>
      </c>
      <c r="T18" s="225" t="str">
        <f ca="1">IF(B18="","",IF(ISERROR(MATCH($J18,SorP!$B$1:$B$6230,0)),"",INDIRECT("'SorP'!$A$"&amp;MATCH($J18,SorP!$B$1:$B$6230,0))))</f>
        <v>PL-18</v>
      </c>
      <c r="U18" s="241"/>
      <c r="V18" s="275">
        <f ca="1">IF(C18="",NA(),MATCH($B18&amp;$C18,'Smelter Look-up'!$J:$J,0))</f>
        <v>383</v>
      </c>
      <c r="W18" s="276"/>
      <c r="X18" s="276">
        <f t="shared" ca="1" si="4"/>
        <v>0</v>
      </c>
      <c r="Y18" s="276"/>
      <c r="Z18" s="276"/>
      <c r="AB18" s="278" t="str">
        <f t="shared" ca="1" si="5"/>
        <v>TinFenix Metals</v>
      </c>
    </row>
    <row r="19" spans="1:28" s="277" customFormat="1" ht="89.25">
      <c r="A19" s="347" t="s">
        <v>787</v>
      </c>
      <c r="B19" s="217" t="str">
        <f ca="1">IF(LEN(A19)=0,"",INDEX('Smelter Look-up'!$A:$A,MATCH($A19,'Smelter Look-up'!$E:$E,0)))</f>
        <v>Tin</v>
      </c>
      <c r="C19" s="221" t="str">
        <f ca="1">IF(LEN(A19)=0,"",INDEX('Smelter Look-up'!$C:$C,MATCH($A19,'Smelter Look-up'!$E:$E,0)))</f>
        <v>Gejiu Non-Ferrous Metal Processing Co., Ltd.</v>
      </c>
      <c r="D19" s="348" t="s">
        <v>2248</v>
      </c>
      <c r="E19" s="217" t="str">
        <f ca="1">IF(ISERROR($V19),"",OFFSET('Smelter Look-up'!$D$4,$V19-4,0)&amp;"")</f>
        <v>CHINA</v>
      </c>
      <c r="F19" s="217" t="str">
        <f ca="1">IF(ISERROR($V19),"",OFFSET('Smelter Look-up'!$E$4,$V19-4,0))</f>
        <v>CID000538</v>
      </c>
      <c r="G19" s="217" t="str">
        <f ca="1">IF(C19=$X$4,"Enter smelter details",IF(ISERROR($V19),"",OFFSET('Smelter Look-up'!$F$4,$V19-4,0)))</f>
        <v>RMI</v>
      </c>
      <c r="H19" s="218">
        <f ca="1">IF(ISERROR($V19),"",OFFSET('Smelter Look-up'!$G$4,$V19-4,0))</f>
        <v>0</v>
      </c>
      <c r="I19" s="219" t="str">
        <f ca="1">IF(ISERROR($V19),"",OFFSET('Smelter Look-up'!$H$4,$V19-4,0))</f>
        <v>Gejiu</v>
      </c>
      <c r="J19" s="219" t="str">
        <f ca="1">IF(ISERROR($V19),"",OFFSET('Smelter Look-up'!$I$4,$V19-4,0))</f>
        <v>Yunnan Sheng</v>
      </c>
      <c r="K19" s="273"/>
      <c r="L19" s="273"/>
      <c r="M19" s="273"/>
      <c r="N19" s="273"/>
      <c r="O19" s="273"/>
      <c r="P19" s="220"/>
      <c r="Q19" s="274"/>
      <c r="R19" s="217" t="str">
        <f ca="1">IF(ISERROR($V19),"",OFFSET('Smelter Look-up'!$C$4,$V19-4,0)&amp;"")</f>
        <v>Gejiu Non-Ferrous Metal Processing Co., Ltd.</v>
      </c>
      <c r="S19" s="225" t="str">
        <f t="shared" ca="1" si="3"/>
        <v>CN</v>
      </c>
      <c r="T19" s="225" t="str">
        <f ca="1">IF(B19="","",IF(ISERROR(MATCH($J19,SorP!$B$1:$B$6230,0)),"",INDIRECT("'SorP'!$A$"&amp;MATCH($J19,SorP!$B$1:$B$6230,0))))</f>
        <v>CN-YN</v>
      </c>
      <c r="U19" s="241"/>
      <c r="V19" s="275">
        <f ca="1">IF(C19="",NA(),MATCH($B19&amp;$C19,'Smelter Look-up'!$J:$J,0))</f>
        <v>389</v>
      </c>
      <c r="W19" s="276"/>
      <c r="X19" s="276">
        <f t="shared" ca="1" si="4"/>
        <v>0</v>
      </c>
      <c r="Y19" s="276"/>
      <c r="Z19" s="276"/>
      <c r="AB19" s="278" t="str">
        <f t="shared" ca="1" si="5"/>
        <v>TinGejiu Non-Ferrous Metal Processing Co., Ltd.</v>
      </c>
    </row>
    <row r="20" spans="1:28" s="277" customFormat="1" ht="76.5">
      <c r="A20" s="347" t="s">
        <v>815</v>
      </c>
      <c r="B20" s="217" t="str">
        <f ca="1">IF(LEN(A20)=0,"",INDEX('Smelter Look-up'!$A:$A,MATCH($A20,'Smelter Look-up'!$E:$E,0)))</f>
        <v>Tungsten</v>
      </c>
      <c r="C20" s="221" t="str">
        <f ca="1">IF(LEN(A20)=0,"",INDEX('Smelter Look-up'!$C:$C,MATCH($A20,'Smelter Look-up'!$E:$E,0)))</f>
        <v>Global Tungsten &amp; Powders Corp.</v>
      </c>
      <c r="D20" s="348" t="s">
        <v>1</v>
      </c>
      <c r="E20" s="217" t="str">
        <f ca="1">IF(ISERROR($V20),"",OFFSET('Smelter Look-up'!$D$4,$V20-4,0)&amp;"")</f>
        <v>UNITED STATES OF AMERICA</v>
      </c>
      <c r="F20" s="217" t="str">
        <f ca="1">IF(ISERROR($V20),"",OFFSET('Smelter Look-up'!$E$4,$V20-4,0))</f>
        <v>CID000568</v>
      </c>
      <c r="G20" s="217" t="str">
        <f ca="1">IF(C20=$X$4,"Enter smelter details",IF(ISERROR($V20),"",OFFSET('Smelter Look-up'!$F$4,$V20-4,0)))</f>
        <v>RMI</v>
      </c>
      <c r="H20" s="218">
        <f ca="1">IF(ISERROR($V20),"",OFFSET('Smelter Look-up'!$G$4,$V20-4,0))</f>
        <v>0</v>
      </c>
      <c r="I20" s="219" t="str">
        <f ca="1">IF(ISERROR($V20),"",OFFSET('Smelter Look-up'!$H$4,$V20-4,0))</f>
        <v>Towanda</v>
      </c>
      <c r="J20" s="219" t="str">
        <f ca="1">IF(ISERROR($V20),"",OFFSET('Smelter Look-up'!$I$4,$V20-4,0))</f>
        <v>Pennsylvania</v>
      </c>
      <c r="K20" s="273"/>
      <c r="L20" s="273"/>
      <c r="M20" s="273"/>
      <c r="N20" s="273"/>
      <c r="O20" s="273"/>
      <c r="P20" s="220"/>
      <c r="Q20" s="274"/>
      <c r="R20" s="217" t="str">
        <f ca="1">IF(ISERROR($V20),"",OFFSET('Smelter Look-up'!$C$4,$V20-4,0)&amp;"")</f>
        <v>Global Tungsten &amp; Powders Corp.</v>
      </c>
      <c r="S20" s="225" t="str">
        <f t="shared" ca="1" si="3"/>
        <v>US</v>
      </c>
      <c r="T20" s="225" t="str">
        <f ca="1">IF(B20="","",IF(ISERROR(MATCH($J20,SorP!$B$1:$B$6230,0)),"",INDIRECT("'SorP'!$A$"&amp;MATCH($J20,SorP!$B$1:$B$6230,0))))</f>
        <v>US-PA</v>
      </c>
      <c r="U20" s="241"/>
      <c r="V20" s="275">
        <f ca="1">IF(C20="",NA(),MATCH($B20&amp;$C20,'Smelter Look-up'!$J:$J,0))</f>
        <v>512</v>
      </c>
      <c r="W20" s="276"/>
      <c r="X20" s="276">
        <f t="shared" ca="1" si="4"/>
        <v>0</v>
      </c>
      <c r="Y20" s="276"/>
      <c r="Z20" s="276"/>
      <c r="AB20" s="278" t="str">
        <f t="shared" ca="1" si="5"/>
        <v>TungstenGlobal Tungsten &amp; Powders Corp.</v>
      </c>
    </row>
    <row r="21" spans="1:28" s="277" customFormat="1" ht="51">
      <c r="A21" s="347" t="s">
        <v>694</v>
      </c>
      <c r="B21" s="217" t="str">
        <f ca="1">IF(LEN(A21)=0,"",INDEX('Smelter Look-up'!$A:$A,MATCH($A21,'Smelter Look-up'!$E:$E,0)))</f>
        <v>Gold</v>
      </c>
      <c r="C21" s="221" t="str">
        <f ca="1">IF(LEN(A21)=0,"",INDEX('Smelter Look-up'!$C:$C,MATCH($A21,'Smelter Look-up'!$E:$E,0)))</f>
        <v>Heimerle + Meule GmbH</v>
      </c>
      <c r="D21" s="348" t="s">
        <v>1062</v>
      </c>
      <c r="E21" s="217" t="str">
        <f ca="1">IF(ISERROR($V21),"",OFFSET('Smelter Look-up'!$D$4,$V21-4,0)&amp;"")</f>
        <v>GERMANY</v>
      </c>
      <c r="F21" s="217" t="str">
        <f ca="1">IF(ISERROR($V21),"",OFFSET('Smelter Look-up'!$E$4,$V21-4,0))</f>
        <v>CID000694</v>
      </c>
      <c r="G21" s="217" t="str">
        <f ca="1">IF(C21=$X$4,"Enter smelter details",IF(ISERROR($V21),"",OFFSET('Smelter Look-up'!$F$4,$V21-4,0)))</f>
        <v>RMI</v>
      </c>
      <c r="H21" s="218">
        <f ca="1">IF(ISERROR($V21),"",OFFSET('Smelter Look-up'!$G$4,$V21-4,0))</f>
        <v>0</v>
      </c>
      <c r="I21" s="219" t="str">
        <f ca="1">IF(ISERROR($V21),"",OFFSET('Smelter Look-up'!$H$4,$V21-4,0))</f>
        <v>Pforzheim</v>
      </c>
      <c r="J21" s="219" t="str">
        <f ca="1">IF(ISERROR($V21),"",OFFSET('Smelter Look-up'!$I$4,$V21-4,0))</f>
        <v>Baden-Württemberg</v>
      </c>
      <c r="K21" s="273"/>
      <c r="L21" s="273"/>
      <c r="M21" s="273"/>
      <c r="N21" s="273"/>
      <c r="O21" s="273"/>
      <c r="P21" s="220"/>
      <c r="Q21" s="274"/>
      <c r="R21" s="217" t="str">
        <f ca="1">IF(ISERROR($V21),"",OFFSET('Smelter Look-up'!$C$4,$V21-4,0)&amp;"")</f>
        <v>Heimerle + Meule GmbH</v>
      </c>
      <c r="S21" s="225" t="str">
        <f t="shared" ca="1" si="3"/>
        <v>DE</v>
      </c>
      <c r="T21" s="225" t="str">
        <f ca="1">IF(B21="","",IF(ISERROR(MATCH($J21,SorP!$B$1:$B$6230,0)),"",INDIRECT("'SorP'!$A$"&amp;MATCH($J21,SorP!$B$1:$B$6230,0))))</f>
        <v>DE-BW</v>
      </c>
      <c r="U21" s="241"/>
      <c r="V21" s="275">
        <f ca="1">IF(C21="",NA(),MATCH($B21&amp;$C21,'Smelter Look-up'!$J:$J,0))</f>
        <v>92</v>
      </c>
      <c r="W21" s="276"/>
      <c r="X21" s="276">
        <f t="shared" ca="1" si="4"/>
        <v>0</v>
      </c>
      <c r="Y21" s="276"/>
      <c r="Z21" s="276"/>
      <c r="AB21" s="278" t="str">
        <f t="shared" ca="1" si="5"/>
        <v>GoldHeimerle + Meule GmbH</v>
      </c>
    </row>
    <row r="22" spans="1:28" s="277" customFormat="1" ht="76.5">
      <c r="A22" s="347" t="s">
        <v>695</v>
      </c>
      <c r="B22" s="217" t="str">
        <f ca="1">IF(LEN(A22)=0,"",INDEX('Smelter Look-up'!$A:$A,MATCH($A22,'Smelter Look-up'!$E:$E,0)))</f>
        <v>Gold</v>
      </c>
      <c r="C22" s="221" t="str">
        <f ca="1">IF(LEN(A22)=0,"",INDEX('Smelter Look-up'!$C:$C,MATCH($A22,'Smelter Look-up'!$E:$E,0)))</f>
        <v>Heraeus Metals Hong Kong Ltd.</v>
      </c>
      <c r="D22" s="348" t="s">
        <v>2647</v>
      </c>
      <c r="E22" s="217" t="str">
        <f ca="1">IF(ISERROR($V22),"",OFFSET('Smelter Look-up'!$D$4,$V22-4,0)&amp;"")</f>
        <v>CHINA</v>
      </c>
      <c r="F22" s="217" t="str">
        <f ca="1">IF(ISERROR($V22),"",OFFSET('Smelter Look-up'!$E$4,$V22-4,0))</f>
        <v>CID000707</v>
      </c>
      <c r="G22" s="217" t="str">
        <f ca="1">IF(C22=$X$4,"Enter smelter details",IF(ISERROR($V22),"",OFFSET('Smelter Look-up'!$F$4,$V22-4,0)))</f>
        <v>RMI</v>
      </c>
      <c r="H22" s="218">
        <f ca="1">IF(ISERROR($V22),"",OFFSET('Smelter Look-up'!$G$4,$V22-4,0))</f>
        <v>0</v>
      </c>
      <c r="I22" s="219" t="str">
        <f ca="1">IF(ISERROR($V22),"",OFFSET('Smelter Look-up'!$H$4,$V22-4,0))</f>
        <v>Fanling</v>
      </c>
      <c r="J22" s="219" t="str">
        <f ca="1">IF(ISERROR($V22),"",OFFSET('Smelter Look-up'!$I$4,$V22-4,0))</f>
        <v>Hong Kong SAR</v>
      </c>
      <c r="K22" s="273"/>
      <c r="L22" s="273"/>
      <c r="M22" s="273"/>
      <c r="N22" s="273"/>
      <c r="O22" s="273"/>
      <c r="P22" s="220"/>
      <c r="Q22" s="274"/>
      <c r="R22" s="217" t="str">
        <f ca="1">IF(ISERROR($V22),"",OFFSET('Smelter Look-up'!$C$4,$V22-4,0)&amp;"")</f>
        <v>Heraeus Metals Hong Kong Ltd.</v>
      </c>
      <c r="S22" s="225" t="str">
        <f t="shared" ca="1" si="3"/>
        <v>CN</v>
      </c>
      <c r="T22" s="225" t="str">
        <f ca="1">IF(B22="","",IF(ISERROR(MATCH($J22,SorP!$B$1:$B$6230,0)),"",INDIRECT("'SorP'!$A$"&amp;MATCH($J22,SorP!$B$1:$B$6230,0))))</f>
        <v>CN-HK</v>
      </c>
      <c r="U22" s="241"/>
      <c r="V22" s="275">
        <f ca="1">IF(C22="",NA(),MATCH($B22&amp;$C22,'Smelter Look-up'!$J:$J,0))</f>
        <v>97</v>
      </c>
      <c r="W22" s="276"/>
      <c r="X22" s="276">
        <f t="shared" ca="1" si="4"/>
        <v>0</v>
      </c>
      <c r="Y22" s="276"/>
      <c r="Z22" s="276"/>
      <c r="AB22" s="278" t="str">
        <f t="shared" ca="1" si="5"/>
        <v>GoldHeraeus Metals Hong Kong Ltd.</v>
      </c>
    </row>
    <row r="23" spans="1:28" s="277" customFormat="1" ht="76.5">
      <c r="A23" s="347" t="s">
        <v>696</v>
      </c>
      <c r="B23" s="217" t="str">
        <f ca="1">IF(LEN(A23)=0,"",INDEX('Smelter Look-up'!$A:$A,MATCH($A23,'Smelter Look-up'!$E:$E,0)))</f>
        <v>Gold</v>
      </c>
      <c r="C23" s="221" t="str">
        <f ca="1">IF(LEN(A23)=0,"",INDEX('Smelter Look-up'!$C:$C,MATCH($A23,'Smelter Look-up'!$E:$E,0)))</f>
        <v>Heraeus Precious Metals GmbH &amp; Co. KG</v>
      </c>
      <c r="D23" s="348" t="s">
        <v>1250</v>
      </c>
      <c r="E23" s="217" t="str">
        <f ca="1">IF(ISERROR($V23),"",OFFSET('Smelter Look-up'!$D$4,$V23-4,0)&amp;"")</f>
        <v>GERMANY</v>
      </c>
      <c r="F23" s="217" t="str">
        <f ca="1">IF(ISERROR($V23),"",OFFSET('Smelter Look-up'!$E$4,$V23-4,0))</f>
        <v>CID000711</v>
      </c>
      <c r="G23" s="217" t="str">
        <f ca="1">IF(C23=$X$4,"Enter smelter details",IF(ISERROR($V23),"",OFFSET('Smelter Look-up'!$F$4,$V23-4,0)))</f>
        <v>RMI</v>
      </c>
      <c r="H23" s="218">
        <f ca="1">IF(ISERROR($V23),"",OFFSET('Smelter Look-up'!$G$4,$V23-4,0))</f>
        <v>0</v>
      </c>
      <c r="I23" s="219" t="str">
        <f ca="1">IF(ISERROR($V23),"",OFFSET('Smelter Look-up'!$H$4,$V23-4,0))</f>
        <v>Hanau</v>
      </c>
      <c r="J23" s="219" t="str">
        <f ca="1">IF(ISERROR($V23),"",OFFSET('Smelter Look-up'!$I$4,$V23-4,0))</f>
        <v>Hessen</v>
      </c>
      <c r="K23" s="273"/>
      <c r="L23" s="273"/>
      <c r="M23" s="273"/>
      <c r="N23" s="273"/>
      <c r="O23" s="273"/>
      <c r="P23" s="220"/>
      <c r="Q23" s="274"/>
      <c r="R23" s="217" t="str">
        <f ca="1">IF(ISERROR($V23),"",OFFSET('Smelter Look-up'!$C$4,$V23-4,0)&amp;"")</f>
        <v>Heraeus Precious Metals GmbH &amp; Co. KG</v>
      </c>
      <c r="S23" s="225" t="str">
        <f t="shared" ca="1" si="3"/>
        <v>DE</v>
      </c>
      <c r="T23" s="225" t="str">
        <f ca="1">IF(B23="","",IF(ISERROR(MATCH($J23,SorP!$B$1:$B$6230,0)),"",INDIRECT("'SorP'!$A$"&amp;MATCH($J23,SorP!$B$1:$B$6230,0))))</f>
        <v>DE-HE</v>
      </c>
      <c r="U23" s="241"/>
      <c r="V23" s="275">
        <f ca="1">IF(C23="",NA(),MATCH($B23&amp;$C23,'Smelter Look-up'!$J:$J,0))</f>
        <v>98</v>
      </c>
      <c r="W23" s="276"/>
      <c r="X23" s="276">
        <f t="shared" ca="1" si="4"/>
        <v>0</v>
      </c>
      <c r="Y23" s="276"/>
      <c r="Z23" s="276"/>
      <c r="AB23" s="278" t="str">
        <f t="shared" ca="1" si="5"/>
        <v>GoldHeraeus Precious Metals GmbH &amp; Co. KG</v>
      </c>
    </row>
    <row r="24" spans="1:28" s="277" customFormat="1" ht="51">
      <c r="A24" s="347" t="s">
        <v>701</v>
      </c>
      <c r="B24" s="217" t="str">
        <f ca="1">IF(LEN(A24)=0,"",INDEX('Smelter Look-up'!$A:$A,MATCH($A24,'Smelter Look-up'!$E:$E,0)))</f>
        <v>Gold</v>
      </c>
      <c r="C24" s="221" t="str">
        <f ca="1">IF(LEN(A24)=0,"",INDEX('Smelter Look-up'!$C:$C,MATCH($A24,'Smelter Look-up'!$E:$E,0)))</f>
        <v>Istanbul Gold Refinery</v>
      </c>
      <c r="D24" s="348" t="s">
        <v>1258</v>
      </c>
      <c r="E24" s="217" t="str">
        <f ca="1">IF(ISERROR($V24),"",OFFSET('Smelter Look-up'!$D$4,$V24-4,0)&amp;"")</f>
        <v>TURKEY</v>
      </c>
      <c r="F24" s="217" t="str">
        <f ca="1">IF(ISERROR($V24),"",OFFSET('Smelter Look-up'!$E$4,$V24-4,0))</f>
        <v>CID000814</v>
      </c>
      <c r="G24" s="217" t="str">
        <f ca="1">IF(C24=$X$4,"Enter smelter details",IF(ISERROR($V24),"",OFFSET('Smelter Look-up'!$F$4,$V24-4,0)))</f>
        <v>RMI</v>
      </c>
      <c r="H24" s="218">
        <f ca="1">IF(ISERROR($V24),"",OFFSET('Smelter Look-up'!$G$4,$V24-4,0))</f>
        <v>0</v>
      </c>
      <c r="I24" s="219" t="str">
        <f ca="1">IF(ISERROR($V24),"",OFFSET('Smelter Look-up'!$H$4,$V24-4,0))</f>
        <v>Kuyumcukent</v>
      </c>
      <c r="J24" s="219" t="str">
        <f ca="1">IF(ISERROR($V24),"",OFFSET('Smelter Look-up'!$I$4,$V24-4,0))</f>
        <v>İstanbul</v>
      </c>
      <c r="K24" s="273"/>
      <c r="L24" s="273"/>
      <c r="M24" s="273"/>
      <c r="N24" s="273"/>
      <c r="O24" s="273"/>
      <c r="P24" s="220"/>
      <c r="Q24" s="274"/>
      <c r="R24" s="217" t="str">
        <f ca="1">IF(ISERROR($V24),"",OFFSET('Smelter Look-up'!$C$4,$V24-4,0)&amp;"")</f>
        <v>Istanbul Gold Refinery</v>
      </c>
      <c r="S24" s="225" t="str">
        <f t="shared" ca="1" si="3"/>
        <v>TR</v>
      </c>
      <c r="T24" s="225" t="str">
        <f ca="1">IF(B24="","",IF(ISERROR(MATCH($J24,SorP!$B$1:$B$6230,0)),"",INDIRECT("'SorP'!$A$"&amp;MATCH($J24,SorP!$B$1:$B$6230,0))))</f>
        <v>TR-34</v>
      </c>
      <c r="U24" s="241"/>
      <c r="V24" s="275">
        <f ca="1">IF(C24="",NA(),MATCH($B24&amp;$C24,'Smelter Look-up'!$J:$J,0))</f>
        <v>108</v>
      </c>
      <c r="W24" s="276"/>
      <c r="X24" s="276">
        <f t="shared" ca="1" si="4"/>
        <v>0</v>
      </c>
      <c r="Y24" s="276"/>
      <c r="Z24" s="276"/>
      <c r="AB24" s="278" t="str">
        <f t="shared" ca="1" si="5"/>
        <v>GoldIstanbul Gold Refinery</v>
      </c>
    </row>
    <row r="25" spans="1:28" s="277" customFormat="1" ht="76.5">
      <c r="A25" s="347" t="s">
        <v>818</v>
      </c>
      <c r="B25" s="217" t="str">
        <f ca="1">IF(LEN(A25)=0,"",INDEX('Smelter Look-up'!$A:$A,MATCH($A25,'Smelter Look-up'!$E:$E,0)))</f>
        <v>Tungsten</v>
      </c>
      <c r="C25" s="221" t="str">
        <f ca="1">IF(LEN(A25)=0,"",INDEX('Smelter Look-up'!$C:$C,MATCH($A25,'Smelter Look-up'!$E:$E,0)))</f>
        <v>Japan New Metals Co., Ltd.</v>
      </c>
      <c r="D25" s="348" t="s">
        <v>1405</v>
      </c>
      <c r="E25" s="217" t="str">
        <f ca="1">IF(ISERROR($V25),"",OFFSET('Smelter Look-up'!$D$4,$V25-4,0)&amp;"")</f>
        <v>JAPAN</v>
      </c>
      <c r="F25" s="217" t="str">
        <f ca="1">IF(ISERROR($V25),"",OFFSET('Smelter Look-up'!$E$4,$V25-4,0))</f>
        <v>CID000825</v>
      </c>
      <c r="G25" s="217" t="str">
        <f ca="1">IF(C25=$X$4,"Enter smelter details",IF(ISERROR($V25),"",OFFSET('Smelter Look-up'!$F$4,$V25-4,0)))</f>
        <v>RMI</v>
      </c>
      <c r="H25" s="218">
        <f ca="1">IF(ISERROR($V25),"",OFFSET('Smelter Look-up'!$G$4,$V25-4,0))</f>
        <v>0</v>
      </c>
      <c r="I25" s="219" t="str">
        <f ca="1">IF(ISERROR($V25),"",OFFSET('Smelter Look-up'!$H$4,$V25-4,0))</f>
        <v>Akita City</v>
      </c>
      <c r="J25" s="219" t="str">
        <f ca="1">IF(ISERROR($V25),"",OFFSET('Smelter Look-up'!$I$4,$V25-4,0))</f>
        <v>Akita</v>
      </c>
      <c r="K25" s="273"/>
      <c r="L25" s="273"/>
      <c r="M25" s="273"/>
      <c r="N25" s="273"/>
      <c r="O25" s="273"/>
      <c r="P25" s="220"/>
      <c r="Q25" s="274"/>
      <c r="R25" s="217" t="str">
        <f ca="1">IF(ISERROR($V25),"",OFFSET('Smelter Look-up'!$C$4,$V25-4,0)&amp;"")</f>
        <v>Japan New Metals Co., Ltd.</v>
      </c>
      <c r="S25" s="225" t="str">
        <f t="shared" ca="1" si="3"/>
        <v>JP</v>
      </c>
      <c r="T25" s="225" t="str">
        <f ca="1">IF(B25="","",IF(ISERROR(MATCH($J25,SorP!$B$1:$B$6230,0)),"",INDIRECT("'SorP'!$A$"&amp;MATCH($J25,SorP!$B$1:$B$6230,0))))</f>
        <v>JP-05</v>
      </c>
      <c r="U25" s="241"/>
      <c r="V25" s="275">
        <f ca="1">IF(C25="",NA(),MATCH($B25&amp;$C25,'Smelter Look-up'!$J:$J,0))</f>
        <v>525</v>
      </c>
      <c r="W25" s="276"/>
      <c r="X25" s="276">
        <f t="shared" ca="1" si="4"/>
        <v>0</v>
      </c>
      <c r="Y25" s="276"/>
      <c r="Z25" s="276"/>
      <c r="AB25" s="278" t="str">
        <f t="shared" ca="1" si="5"/>
        <v>TungstenJapan New Metals Co., Ltd.</v>
      </c>
    </row>
    <row r="26" spans="1:28" s="277" customFormat="1" ht="63.75">
      <c r="A26" s="347" t="s">
        <v>704</v>
      </c>
      <c r="B26" s="217" t="str">
        <f ca="1">IF(LEN(A26)=0,"",INDEX('Smelter Look-up'!$A:$A,MATCH($A26,'Smelter Look-up'!$E:$E,0)))</f>
        <v>Gold</v>
      </c>
      <c r="C26" s="221" t="str">
        <f ca="1">IF(LEN(A26)=0,"",INDEX('Smelter Look-up'!$C:$C,MATCH($A26,'Smelter Look-up'!$E:$E,0)))</f>
        <v>Asahi Refining USA Inc.</v>
      </c>
      <c r="D26" s="348" t="s">
        <v>2309</v>
      </c>
      <c r="E26" s="217" t="str">
        <f ca="1">IF(ISERROR($V26),"",OFFSET('Smelter Look-up'!$D$4,$V26-4,0)&amp;"")</f>
        <v>UNITED STATES OF AMERICA</v>
      </c>
      <c r="F26" s="217" t="str">
        <f ca="1">IF(ISERROR($V26),"",OFFSET('Smelter Look-up'!$E$4,$V26-4,0))</f>
        <v>CID000920</v>
      </c>
      <c r="G26" s="217" t="str">
        <f ca="1">IF(C26=$X$4,"Enter smelter details",IF(ISERROR($V26),"",OFFSET('Smelter Look-up'!$F$4,$V26-4,0)))</f>
        <v>RMI</v>
      </c>
      <c r="H26" s="218">
        <f ca="1">IF(ISERROR($V26),"",OFFSET('Smelter Look-up'!$G$4,$V26-4,0))</f>
        <v>0</v>
      </c>
      <c r="I26" s="219" t="str">
        <f ca="1">IF(ISERROR($V26),"",OFFSET('Smelter Look-up'!$H$4,$V26-4,0))</f>
        <v>Salt Lake City</v>
      </c>
      <c r="J26" s="219" t="str">
        <f ca="1">IF(ISERROR($V26),"",OFFSET('Smelter Look-up'!$I$4,$V26-4,0))</f>
        <v>Utah</v>
      </c>
      <c r="K26" s="273"/>
      <c r="L26" s="273"/>
      <c r="M26" s="273"/>
      <c r="N26" s="273"/>
      <c r="O26" s="273"/>
      <c r="P26" s="220"/>
      <c r="Q26" s="274"/>
      <c r="R26" s="217" t="str">
        <f ca="1">IF(ISERROR($V26),"",OFFSET('Smelter Look-up'!$C$4,$V26-4,0)&amp;"")</f>
        <v>Asahi Refining USA Inc.</v>
      </c>
      <c r="S26" s="225" t="str">
        <f t="shared" ca="1" si="3"/>
        <v>US</v>
      </c>
      <c r="T26" s="225" t="str">
        <f ca="1">IF(B26="","",IF(ISERROR(MATCH($J26,SorP!$B$1:$B$6230,0)),"",INDIRECT("'SorP'!$A$"&amp;MATCH($J26,SorP!$B$1:$B$6230,0))))</f>
        <v>US-UT</v>
      </c>
      <c r="U26" s="241"/>
      <c r="V26" s="275">
        <f ca="1">IF(C26="",NA(),MATCH($B26&amp;$C26,'Smelter Look-up'!$J:$J,0))</f>
        <v>26</v>
      </c>
      <c r="W26" s="276"/>
      <c r="X26" s="276">
        <f t="shared" ca="1" si="4"/>
        <v>0</v>
      </c>
      <c r="Y26" s="276"/>
      <c r="Z26" s="276"/>
      <c r="AB26" s="278" t="str">
        <f t="shared" ca="1" si="5"/>
        <v>GoldAsahi Refining USA Inc.</v>
      </c>
    </row>
    <row r="27" spans="1:28" s="277" customFormat="1" ht="63.75">
      <c r="A27" s="347" t="s">
        <v>705</v>
      </c>
      <c r="B27" s="217" t="str">
        <f ca="1">IF(LEN(A27)=0,"",INDEX('Smelter Look-up'!$A:$A,MATCH($A27,'Smelter Look-up'!$E:$E,0)))</f>
        <v>Gold</v>
      </c>
      <c r="C27" s="221" t="str">
        <f ca="1">IF(LEN(A27)=0,"",INDEX('Smelter Look-up'!$C:$C,MATCH($A27,'Smelter Look-up'!$E:$E,0)))</f>
        <v>Asahi Refining Canada Ltd.</v>
      </c>
      <c r="D27" s="348" t="s">
        <v>2411</v>
      </c>
      <c r="E27" s="217" t="str">
        <f ca="1">IF(ISERROR($V27),"",OFFSET('Smelter Look-up'!$D$4,$V27-4,0)&amp;"")</f>
        <v>CANADA</v>
      </c>
      <c r="F27" s="217" t="str">
        <f ca="1">IF(ISERROR($V27),"",OFFSET('Smelter Look-up'!$E$4,$V27-4,0))</f>
        <v>CID000924</v>
      </c>
      <c r="G27" s="217" t="str">
        <f ca="1">IF(C27=$X$4,"Enter smelter details",IF(ISERROR($V27),"",OFFSET('Smelter Look-up'!$F$4,$V27-4,0)))</f>
        <v>RMI</v>
      </c>
      <c r="H27" s="218">
        <f ca="1">IF(ISERROR($V27),"",OFFSET('Smelter Look-up'!$G$4,$V27-4,0))</f>
        <v>0</v>
      </c>
      <c r="I27" s="219" t="str">
        <f ca="1">IF(ISERROR($V27),"",OFFSET('Smelter Look-up'!$H$4,$V27-4,0))</f>
        <v>Brampton</v>
      </c>
      <c r="J27" s="219" t="str">
        <f ca="1">IF(ISERROR($V27),"",OFFSET('Smelter Look-up'!$I$4,$V27-4,0))</f>
        <v>Ontario</v>
      </c>
      <c r="K27" s="273"/>
      <c r="L27" s="273"/>
      <c r="M27" s="273"/>
      <c r="N27" s="273"/>
      <c r="O27" s="273"/>
      <c r="P27" s="220"/>
      <c r="Q27" s="274"/>
      <c r="R27" s="217" t="str">
        <f ca="1">IF(ISERROR($V27),"",OFFSET('Smelter Look-up'!$C$4,$V27-4,0)&amp;"")</f>
        <v>Asahi Refining Canada Ltd.</v>
      </c>
      <c r="S27" s="225" t="str">
        <f t="shared" ca="1" si="3"/>
        <v>CA</v>
      </c>
      <c r="T27" s="225" t="str">
        <f ca="1">IF(B27="","",IF(ISERROR(MATCH($J27,SorP!$B$1:$B$6230,0)),"",INDIRECT("'SorP'!$A$"&amp;MATCH($J27,SorP!$B$1:$B$6230,0))))</f>
        <v>CA-ON</v>
      </c>
      <c r="U27" s="241"/>
      <c r="V27" s="275">
        <f ca="1">IF(C27="",NA(),MATCH($B27&amp;$C27,'Smelter Look-up'!$J:$J,0))</f>
        <v>25</v>
      </c>
      <c r="W27" s="276"/>
      <c r="X27" s="276">
        <f t="shared" ca="1" si="4"/>
        <v>0</v>
      </c>
      <c r="Y27" s="276"/>
      <c r="Z27" s="276"/>
      <c r="AB27" s="278" t="str">
        <f t="shared" ca="1" si="5"/>
        <v>GoldAsahi Refining Canada Ltd.</v>
      </c>
    </row>
    <row r="28" spans="1:28" s="277" customFormat="1" ht="63.75">
      <c r="A28" s="347" t="s">
        <v>711</v>
      </c>
      <c r="B28" s="217" t="str">
        <f ca="1">IF(LEN(A28)=0,"",INDEX('Smelter Look-up'!$A:$A,MATCH($A28,'Smelter Look-up'!$E:$E,0)))</f>
        <v>Gold</v>
      </c>
      <c r="C28" s="221" t="str">
        <f ca="1">IF(LEN(A28)=0,"",INDEX('Smelter Look-up'!$C:$C,MATCH($A28,'Smelter Look-up'!$E:$E,0)))</f>
        <v>Kennecott Utah Copper LLC</v>
      </c>
      <c r="D28" s="348" t="s">
        <v>710</v>
      </c>
      <c r="E28" s="217" t="str">
        <f ca="1">IF(ISERROR($V28),"",OFFSET('Smelter Look-up'!$D$4,$V28-4,0)&amp;"")</f>
        <v>UNITED STATES OF AMERICA</v>
      </c>
      <c r="F28" s="217" t="str">
        <f ca="1">IF(ISERROR($V28),"",OFFSET('Smelter Look-up'!$E$4,$V28-4,0))</f>
        <v>CID000969</v>
      </c>
      <c r="G28" s="217" t="str">
        <f ca="1">IF(C28=$X$4,"Enter smelter details",IF(ISERROR($V28),"",OFFSET('Smelter Look-up'!$F$4,$V28-4,0)))</f>
        <v>RMI</v>
      </c>
      <c r="H28" s="218">
        <f ca="1">IF(ISERROR($V28),"",OFFSET('Smelter Look-up'!$G$4,$V28-4,0))</f>
        <v>0</v>
      </c>
      <c r="I28" s="219" t="str">
        <f ca="1">IF(ISERROR($V28),"",OFFSET('Smelter Look-up'!$H$4,$V28-4,0))</f>
        <v>Magna</v>
      </c>
      <c r="J28" s="219" t="str">
        <f ca="1">IF(ISERROR($V28),"",OFFSET('Smelter Look-up'!$I$4,$V28-4,0))</f>
        <v>Utah</v>
      </c>
      <c r="K28" s="273"/>
      <c r="L28" s="273"/>
      <c r="M28" s="273"/>
      <c r="N28" s="273"/>
      <c r="O28" s="273"/>
      <c r="P28" s="220"/>
      <c r="Q28" s="274"/>
      <c r="R28" s="217" t="str">
        <f ca="1">IF(ISERROR($V28),"",OFFSET('Smelter Look-up'!$C$4,$V28-4,0)&amp;"")</f>
        <v>Kennecott Utah Copper LLC</v>
      </c>
      <c r="S28" s="225" t="str">
        <f t="shared" ca="1" si="3"/>
        <v>US</v>
      </c>
      <c r="T28" s="225" t="str">
        <f ca="1">IF(B28="","",IF(ISERROR(MATCH($J28,SorP!$B$1:$B$6230,0)),"",INDIRECT("'SorP'!$A$"&amp;MATCH($J28,SorP!$B$1:$B$6230,0))))</f>
        <v>US-UT</v>
      </c>
      <c r="U28" s="241"/>
      <c r="V28" s="275">
        <f ca="1">IF(C28="",NA(),MATCH($B28&amp;$C28,'Smelter Look-up'!$J:$J,0))</f>
        <v>124</v>
      </c>
      <c r="W28" s="276"/>
      <c r="X28" s="276">
        <f t="shared" ca="1" si="4"/>
        <v>0</v>
      </c>
      <c r="Y28" s="276"/>
      <c r="Z28" s="276"/>
      <c r="AB28" s="278" t="str">
        <f t="shared" ca="1" si="5"/>
        <v>GoldKennecott Utah Copper LLC</v>
      </c>
    </row>
    <row r="29" spans="1:28" s="277" customFormat="1" ht="63.75">
      <c r="A29" s="347" t="s">
        <v>791</v>
      </c>
      <c r="B29" s="217" t="str">
        <f ca="1">IF(LEN(A29)=0,"",INDEX('Smelter Look-up'!$A:$A,MATCH($A29,'Smelter Look-up'!$E:$E,0)))</f>
        <v>Tin</v>
      </c>
      <c r="C29" s="221" t="str">
        <f ca="1">IF(LEN(A29)=0,"",INDEX('Smelter Look-up'!$C:$C,MATCH($A29,'Smelter Look-up'!$E:$E,0)))</f>
        <v>China Tin Group Co., Ltd.</v>
      </c>
      <c r="D29" s="348" t="s">
        <v>1350</v>
      </c>
      <c r="E29" s="217" t="str">
        <f ca="1">IF(ISERROR($V29),"",OFFSET('Smelter Look-up'!$D$4,$V29-4,0)&amp;"")</f>
        <v>CHINA</v>
      </c>
      <c r="F29" s="217" t="str">
        <f ca="1">IF(ISERROR($V29),"",OFFSET('Smelter Look-up'!$E$4,$V29-4,0))</f>
        <v>CID001070</v>
      </c>
      <c r="G29" s="217" t="str">
        <f ca="1">IF(C29=$X$4,"Enter smelter details",IF(ISERROR($V29),"",OFFSET('Smelter Look-up'!$F$4,$V29-4,0)))</f>
        <v>RMI</v>
      </c>
      <c r="H29" s="218">
        <f ca="1">IF(ISERROR($V29),"",OFFSET('Smelter Look-up'!$G$4,$V29-4,0))</f>
        <v>0</v>
      </c>
      <c r="I29" s="219" t="str">
        <f ca="1">IF(ISERROR($V29),"",OFFSET('Smelter Look-up'!$H$4,$V29-4,0))</f>
        <v>Laibin</v>
      </c>
      <c r="J29" s="219" t="str">
        <f ca="1">IF(ISERROR($V29),"",OFFSET('Smelter Look-up'!$I$4,$V29-4,0))</f>
        <v>Guangxi Zhuangzu Zizhiqu</v>
      </c>
      <c r="K29" s="273"/>
      <c r="L29" s="273"/>
      <c r="M29" s="273"/>
      <c r="N29" s="273"/>
      <c r="O29" s="273"/>
      <c r="P29" s="220"/>
      <c r="Q29" s="274"/>
      <c r="R29" s="217" t="str">
        <f ca="1">IF(ISERROR($V29),"",OFFSET('Smelter Look-up'!$C$4,$V29-4,0)&amp;"")</f>
        <v>China Tin Group Co., Ltd.</v>
      </c>
      <c r="S29" s="225" t="str">
        <f t="shared" ca="1" si="3"/>
        <v>CN</v>
      </c>
      <c r="T29" s="225" t="str">
        <f ca="1">IF(B29="","",IF(ISERROR(MATCH($J29,SorP!$B$1:$B$6230,0)),"",INDIRECT("'SorP'!$A$"&amp;MATCH($J29,SorP!$B$1:$B$6230,0))))</f>
        <v>CN-GX</v>
      </c>
      <c r="U29" s="241"/>
      <c r="V29" s="275">
        <f ca="1">IF(C29="",NA(),MATCH($B29&amp;$C29,'Smelter Look-up'!$J:$J,0))</f>
        <v>367</v>
      </c>
      <c r="W29" s="276"/>
      <c r="X29" s="276">
        <f t="shared" ca="1" si="4"/>
        <v>0</v>
      </c>
      <c r="Y29" s="276"/>
      <c r="Z29" s="276"/>
      <c r="AB29" s="278" t="str">
        <f t="shared" ca="1" si="5"/>
        <v>TinChina Tin Group Co., Ltd.</v>
      </c>
    </row>
    <row r="30" spans="1:28" s="277" customFormat="1" ht="76.5">
      <c r="A30" s="347" t="s">
        <v>792</v>
      </c>
      <c r="B30" s="217" t="str">
        <f ca="1">IF(LEN(A30)=0,"",INDEX('Smelter Look-up'!$A:$A,MATCH($A30,'Smelter Look-up'!$E:$E,0)))</f>
        <v>Tin</v>
      </c>
      <c r="C30" s="221" t="str">
        <f ca="1">IF(LEN(A30)=0,"",INDEX('Smelter Look-up'!$C:$C,MATCH($A30,'Smelter Look-up'!$E:$E,0)))</f>
        <v>Malaysia Smelting Corporation (MSC)</v>
      </c>
      <c r="D30" s="348" t="s">
        <v>844</v>
      </c>
      <c r="E30" s="217" t="str">
        <f ca="1">IF(ISERROR($V30),"",OFFSET('Smelter Look-up'!$D$4,$V30-4,0)&amp;"")</f>
        <v>MALAYSIA</v>
      </c>
      <c r="F30" s="217" t="str">
        <f ca="1">IF(ISERROR($V30),"",OFFSET('Smelter Look-up'!$E$4,$V30-4,0))</f>
        <v>CID001105</v>
      </c>
      <c r="G30" s="217" t="str">
        <f ca="1">IF(C30=$X$4,"Enter smelter details",IF(ISERROR($V30),"",OFFSET('Smelter Look-up'!$F$4,$V30-4,0)))</f>
        <v>RMI</v>
      </c>
      <c r="H30" s="218">
        <f ca="1">IF(ISERROR($V30),"",OFFSET('Smelter Look-up'!$G$4,$V30-4,0))</f>
        <v>0</v>
      </c>
      <c r="I30" s="219" t="str">
        <f ca="1">IF(ISERROR($V30),"",OFFSET('Smelter Look-up'!$H$4,$V30-4,0))</f>
        <v>Butterworth</v>
      </c>
      <c r="J30" s="219" t="str">
        <f ca="1">IF(ISERROR($V30),"",OFFSET('Smelter Look-up'!$I$4,$V30-4,0))</f>
        <v>Pulau Pinang</v>
      </c>
      <c r="K30" s="273"/>
      <c r="L30" s="273"/>
      <c r="M30" s="273"/>
      <c r="N30" s="273"/>
      <c r="O30" s="273"/>
      <c r="P30" s="220"/>
      <c r="Q30" s="274"/>
      <c r="R30" s="217" t="str">
        <f ca="1">IF(ISERROR($V30),"",OFFSET('Smelter Look-up'!$C$4,$V30-4,0)&amp;"")</f>
        <v>Malaysia Smelting Corporation (MSC)</v>
      </c>
      <c r="S30" s="225" t="str">
        <f t="shared" ca="1" si="3"/>
        <v>MY</v>
      </c>
      <c r="T30" s="225" t="str">
        <f ca="1">IF(B30="","",IF(ISERROR(MATCH($J30,SorP!$B$1:$B$6230,0)),"",INDIRECT("'SorP'!$A$"&amp;MATCH($J30,SorP!$B$1:$B$6230,0))))</f>
        <v>MY-07</v>
      </c>
      <c r="U30" s="241"/>
      <c r="V30" s="275">
        <f ca="1">IF(C30="",NA(),MATCH($B30&amp;$C30,'Smelter Look-up'!$J:$J,0))</f>
        <v>414</v>
      </c>
      <c r="W30" s="276"/>
      <c r="X30" s="276">
        <f t="shared" ca="1" si="4"/>
        <v>0</v>
      </c>
      <c r="Y30" s="276"/>
      <c r="Z30" s="276"/>
      <c r="AB30" s="278" t="str">
        <f t="shared" ca="1" si="5"/>
        <v>TinMalaysia Smelting Corporation (MSC)</v>
      </c>
    </row>
    <row r="31" spans="1:28" s="277" customFormat="1" ht="25.5">
      <c r="A31" s="347" t="s">
        <v>719</v>
      </c>
      <c r="B31" s="217" t="str">
        <f ca="1">IF(LEN(A31)=0,"",INDEX('Smelter Look-up'!$A:$A,MATCH($A31,'Smelter Look-up'!$E:$E,0)))</f>
        <v>Gold</v>
      </c>
      <c r="C31" s="221" t="str">
        <f ca="1">IF(LEN(A31)=0,"",INDEX('Smelter Look-up'!$C:$C,MATCH($A31,'Smelter Look-up'!$E:$E,0)))</f>
        <v>Materion</v>
      </c>
      <c r="D31" s="348" t="s">
        <v>933</v>
      </c>
      <c r="E31" s="217" t="str">
        <f ca="1">IF(ISERROR($V31),"",OFFSET('Smelter Look-up'!$D$4,$V31-4,0)&amp;"")</f>
        <v>UNITED STATES OF AMERICA</v>
      </c>
      <c r="F31" s="217" t="str">
        <f ca="1">IF(ISERROR($V31),"",OFFSET('Smelter Look-up'!$E$4,$V31-4,0))</f>
        <v>CID001113</v>
      </c>
      <c r="G31" s="217" t="str">
        <f ca="1">IF(C31=$X$4,"Enter smelter details",IF(ISERROR($V31),"",OFFSET('Smelter Look-up'!$F$4,$V31-4,0)))</f>
        <v>RMI</v>
      </c>
      <c r="H31" s="218">
        <f ca="1">IF(ISERROR($V31),"",OFFSET('Smelter Look-up'!$G$4,$V31-4,0))</f>
        <v>0</v>
      </c>
      <c r="I31" s="219" t="str">
        <f ca="1">IF(ISERROR($V31),"",OFFSET('Smelter Look-up'!$H$4,$V31-4,0))</f>
        <v>Buffalo</v>
      </c>
      <c r="J31" s="219" t="str">
        <f ca="1">IF(ISERROR($V31),"",OFFSET('Smelter Look-up'!$I$4,$V31-4,0))</f>
        <v>New York</v>
      </c>
      <c r="K31" s="273"/>
      <c r="L31" s="273"/>
      <c r="M31" s="273"/>
      <c r="N31" s="273"/>
      <c r="O31" s="273"/>
      <c r="P31" s="220"/>
      <c r="Q31" s="274"/>
      <c r="R31" s="217" t="str">
        <f ca="1">IF(ISERROR($V31),"",OFFSET('Smelter Look-up'!$C$4,$V31-4,0)&amp;"")</f>
        <v>Materion</v>
      </c>
      <c r="S31" s="225" t="str">
        <f t="shared" ca="1" si="3"/>
        <v>US</v>
      </c>
      <c r="T31" s="225" t="str">
        <f ca="1">IF(B31="","",IF(ISERROR(MATCH($J31,SorP!$B$1:$B$6230,0)),"",INDIRECT("'SorP'!$A$"&amp;MATCH($J31,SorP!$B$1:$B$6230,0))))</f>
        <v>US-NY</v>
      </c>
      <c r="U31" s="241"/>
      <c r="V31" s="275">
        <f ca="1">IF(C31="",NA(),MATCH($B31&amp;$C31,'Smelter Look-up'!$J:$J,0))</f>
        <v>149</v>
      </c>
      <c r="W31" s="276"/>
      <c r="X31" s="276">
        <f t="shared" ca="1" si="4"/>
        <v>0</v>
      </c>
      <c r="Y31" s="276"/>
      <c r="Z31" s="276"/>
      <c r="AB31" s="278" t="str">
        <f t="shared" ca="1" si="5"/>
        <v>GoldMaterion</v>
      </c>
    </row>
    <row r="32" spans="1:28" s="277" customFormat="1" ht="51">
      <c r="A32" s="347" t="s">
        <v>1820</v>
      </c>
      <c r="B32" s="217" t="str">
        <f ca="1">IF(LEN(A32)=0,"",INDEX('Smelter Look-up'!$A:$A,MATCH($A32,'Smelter Look-up'!$E:$E,0)))</f>
        <v>Tin</v>
      </c>
      <c r="C32" s="221" t="str">
        <f ca="1">IF(LEN(A32)=0,"",INDEX('Smelter Look-up'!$C:$C,MATCH($A32,'Smelter Look-up'!$E:$E,0)))</f>
        <v>Metallic Resources, Inc.</v>
      </c>
      <c r="D32" s="348" t="s">
        <v>2254</v>
      </c>
      <c r="E32" s="217" t="str">
        <f ca="1">IF(ISERROR($V32),"",OFFSET('Smelter Look-up'!$D$4,$V32-4,0)&amp;"")</f>
        <v>UNITED STATES OF AMERICA</v>
      </c>
      <c r="F32" s="217" t="str">
        <f ca="1">IF(ISERROR($V32),"",OFFSET('Smelter Look-up'!$E$4,$V32-4,0))</f>
        <v>CID001142</v>
      </c>
      <c r="G32" s="217" t="str">
        <f ca="1">IF(C32=$X$4,"Enter smelter details",IF(ISERROR($V32),"",OFFSET('Smelter Look-up'!$F$4,$V32-4,0)))</f>
        <v>RMI</v>
      </c>
      <c r="H32" s="218">
        <f ca="1">IF(ISERROR($V32),"",OFFSET('Smelter Look-up'!$G$4,$V32-4,0))</f>
        <v>0</v>
      </c>
      <c r="I32" s="219" t="str">
        <f ca="1">IF(ISERROR($V32),"",OFFSET('Smelter Look-up'!$H$4,$V32-4,0))</f>
        <v>Twinsburg</v>
      </c>
      <c r="J32" s="219" t="str">
        <f ca="1">IF(ISERROR($V32),"",OFFSET('Smelter Look-up'!$I$4,$V32-4,0))</f>
        <v>Ohio</v>
      </c>
      <c r="K32" s="273"/>
      <c r="L32" s="273"/>
      <c r="M32" s="273"/>
      <c r="N32" s="273"/>
      <c r="O32" s="273"/>
      <c r="P32" s="220"/>
      <c r="Q32" s="274"/>
      <c r="R32" s="217" t="str">
        <f ca="1">IF(ISERROR($V32),"",OFFSET('Smelter Look-up'!$C$4,$V32-4,0)&amp;"")</f>
        <v>Metallic Resources, Inc.</v>
      </c>
      <c r="S32" s="225" t="str">
        <f t="shared" ca="1" si="3"/>
        <v>US</v>
      </c>
      <c r="T32" s="225" t="str">
        <f ca="1">IF(B32="","",IF(ISERROR(MATCH($J32,SorP!$B$1:$B$6230,0)),"",INDIRECT("'SorP'!$A$"&amp;MATCH($J32,SorP!$B$1:$B$6230,0))))</f>
        <v>US-OH</v>
      </c>
      <c r="U32" s="241"/>
      <c r="V32" s="275">
        <f ca="1">IF(C32="",NA(),MATCH($B32&amp;$C32,'Smelter Look-up'!$J:$J,0))</f>
        <v>418</v>
      </c>
      <c r="W32" s="276"/>
      <c r="X32" s="276">
        <f t="shared" ca="1" si="4"/>
        <v>0</v>
      </c>
      <c r="Y32" s="276"/>
      <c r="Z32" s="276"/>
      <c r="AB32" s="278" t="str">
        <f t="shared" ca="1" si="5"/>
        <v>TinMetallic Resources, Inc.</v>
      </c>
    </row>
    <row r="33" spans="1:28" s="277" customFormat="1" ht="89.25">
      <c r="A33" s="347" t="s">
        <v>721</v>
      </c>
      <c r="B33" s="217" t="str">
        <f ca="1">IF(LEN(A33)=0,"",INDEX('Smelter Look-up'!$A:$A,MATCH($A33,'Smelter Look-up'!$E:$E,0)))</f>
        <v>Gold</v>
      </c>
      <c r="C33" s="221" t="str">
        <f ca="1">IF(LEN(A33)=0,"",INDEX('Smelter Look-up'!$C:$C,MATCH($A33,'Smelter Look-up'!$E:$E,0)))</f>
        <v>Metalor Technologies (Hong Kong) Ltd.</v>
      </c>
      <c r="D33" s="348" t="s">
        <v>2255</v>
      </c>
      <c r="E33" s="217" t="str">
        <f ca="1">IF(ISERROR($V33),"",OFFSET('Smelter Look-up'!$D$4,$V33-4,0)&amp;"")</f>
        <v>CHINA</v>
      </c>
      <c r="F33" s="217" t="str">
        <f ca="1">IF(ISERROR($V33),"",OFFSET('Smelter Look-up'!$E$4,$V33-4,0))</f>
        <v>CID001149</v>
      </c>
      <c r="G33" s="217" t="str">
        <f ca="1">IF(C33=$X$4,"Enter smelter details",IF(ISERROR($V33),"",OFFSET('Smelter Look-up'!$F$4,$V33-4,0)))</f>
        <v>RMI</v>
      </c>
      <c r="H33" s="218">
        <f ca="1">IF(ISERROR($V33),"",OFFSET('Smelter Look-up'!$G$4,$V33-4,0))</f>
        <v>0</v>
      </c>
      <c r="I33" s="219" t="str">
        <f ca="1">IF(ISERROR($V33),"",OFFSET('Smelter Look-up'!$H$4,$V33-4,0))</f>
        <v>Kwai Chung</v>
      </c>
      <c r="J33" s="219" t="str">
        <f ca="1">IF(ISERROR($V33),"",OFFSET('Smelter Look-up'!$I$4,$V33-4,0))</f>
        <v>Hong Kong SAR</v>
      </c>
      <c r="K33" s="273"/>
      <c r="L33" s="273"/>
      <c r="M33" s="273"/>
      <c r="N33" s="273"/>
      <c r="O33" s="273"/>
      <c r="P33" s="220"/>
      <c r="Q33" s="274"/>
      <c r="R33" s="217" t="str">
        <f ca="1">IF(ISERROR($V33),"",OFFSET('Smelter Look-up'!$C$4,$V33-4,0)&amp;"")</f>
        <v>Metalor Technologies (Hong Kong) Ltd.</v>
      </c>
      <c r="S33" s="225" t="str">
        <f t="shared" ca="1" si="3"/>
        <v>CN</v>
      </c>
      <c r="T33" s="225" t="str">
        <f ca="1">IF(B33="","",IF(ISERROR(MATCH($J33,SorP!$B$1:$B$6230,0)),"",INDIRECT("'SorP'!$A$"&amp;MATCH($J33,SorP!$B$1:$B$6230,0))))</f>
        <v>CN-HK</v>
      </c>
      <c r="U33" s="241"/>
      <c r="V33" s="275">
        <f ca="1">IF(C33="",NA(),MATCH($B33&amp;$C33,'Smelter Look-up'!$J:$J,0))</f>
        <v>155</v>
      </c>
      <c r="W33" s="276"/>
      <c r="X33" s="276">
        <f t="shared" ca="1" si="4"/>
        <v>0</v>
      </c>
      <c r="Y33" s="276"/>
      <c r="Z33" s="276"/>
      <c r="AB33" s="278" t="str">
        <f t="shared" ca="1" si="5"/>
        <v>GoldMetalor Technologies (Hong Kong) Ltd.</v>
      </c>
    </row>
    <row r="34" spans="1:28" s="277" customFormat="1" ht="63.75">
      <c r="A34" s="347" t="s">
        <v>723</v>
      </c>
      <c r="B34" s="217" t="str">
        <f ca="1">IF(LEN(A34)=0,"",INDEX('Smelter Look-up'!$A:$A,MATCH($A34,'Smelter Look-up'!$E:$E,0)))</f>
        <v>Gold</v>
      </c>
      <c r="C34" s="221" t="str">
        <f ca="1">IF(LEN(A34)=0,"",INDEX('Smelter Look-up'!$C:$C,MATCH($A34,'Smelter Look-up'!$E:$E,0)))</f>
        <v>Metalor Technologies S.A.</v>
      </c>
      <c r="D34" s="348" t="s">
        <v>2431</v>
      </c>
      <c r="E34" s="217" t="str">
        <f ca="1">IF(ISERROR($V34),"",OFFSET('Smelter Look-up'!$D$4,$V34-4,0)&amp;"")</f>
        <v>SWITZERLAND</v>
      </c>
      <c r="F34" s="217" t="str">
        <f ca="1">IF(ISERROR($V34),"",OFFSET('Smelter Look-up'!$E$4,$V34-4,0))</f>
        <v>CID001153</v>
      </c>
      <c r="G34" s="217" t="str">
        <f ca="1">IF(C34=$X$4,"Enter smelter details",IF(ISERROR($V34),"",OFFSET('Smelter Look-up'!$F$4,$V34-4,0)))</f>
        <v>RMI</v>
      </c>
      <c r="H34" s="218">
        <f ca="1">IF(ISERROR($V34),"",OFFSET('Smelter Look-up'!$G$4,$V34-4,0))</f>
        <v>0</v>
      </c>
      <c r="I34" s="219" t="str">
        <f ca="1">IF(ISERROR($V34),"",OFFSET('Smelter Look-up'!$H$4,$V34-4,0))</f>
        <v>Marin</v>
      </c>
      <c r="J34" s="219" t="str">
        <f ca="1">IF(ISERROR($V34),"",OFFSET('Smelter Look-up'!$I$4,$V34-4,0))</f>
        <v>Neuchâtel</v>
      </c>
      <c r="K34" s="273"/>
      <c r="L34" s="273"/>
      <c r="M34" s="273"/>
      <c r="N34" s="273"/>
      <c r="O34" s="273"/>
      <c r="P34" s="220"/>
      <c r="Q34" s="274"/>
      <c r="R34" s="217" t="str">
        <f ca="1">IF(ISERROR($V34),"",OFFSET('Smelter Look-up'!$C$4,$V34-4,0)&amp;"")</f>
        <v>Metalor Technologies S.A.</v>
      </c>
      <c r="S34" s="225" t="str">
        <f t="shared" ca="1" si="3"/>
        <v>CH</v>
      </c>
      <c r="T34" s="225" t="str">
        <f ca="1">IF(B34="","",IF(ISERROR(MATCH($J34,SorP!$B$1:$B$6230,0)),"",INDIRECT("'SorP'!$A$"&amp;MATCH($J34,SorP!$B$1:$B$6230,0))))</f>
        <v>CH-NE</v>
      </c>
      <c r="U34" s="241"/>
      <c r="V34" s="275">
        <f ca="1">IF(C34="",NA(),MATCH($B34&amp;$C34,'Smelter Look-up'!$J:$J,0))</f>
        <v>158</v>
      </c>
      <c r="W34" s="276"/>
      <c r="X34" s="276">
        <f t="shared" ca="1" si="4"/>
        <v>0</v>
      </c>
      <c r="Y34" s="276"/>
      <c r="Z34" s="276"/>
      <c r="AB34" s="278" t="str">
        <f t="shared" ca="1" si="5"/>
        <v>GoldMetalor Technologies S.A.</v>
      </c>
    </row>
    <row r="35" spans="1:28" s="277" customFormat="1" ht="63.75">
      <c r="A35" s="347" t="s">
        <v>724</v>
      </c>
      <c r="B35" s="217" t="str">
        <f ca="1">IF(LEN(A35)=0,"",INDEX('Smelter Look-up'!$A:$A,MATCH($A35,'Smelter Look-up'!$E:$E,0)))</f>
        <v>Gold</v>
      </c>
      <c r="C35" s="221" t="str">
        <f ca="1">IF(LEN(A35)=0,"",INDEX('Smelter Look-up'!$C:$C,MATCH($A35,'Smelter Look-up'!$E:$E,0)))</f>
        <v>Metalor USA Refining Corporation</v>
      </c>
      <c r="D35" s="348" t="s">
        <v>1252</v>
      </c>
      <c r="E35" s="217" t="str">
        <f ca="1">IF(ISERROR($V35),"",OFFSET('Smelter Look-up'!$D$4,$V35-4,0)&amp;"")</f>
        <v>UNITED STATES OF AMERICA</v>
      </c>
      <c r="F35" s="217" t="str">
        <f ca="1">IF(ISERROR($V35),"",OFFSET('Smelter Look-up'!$E$4,$V35-4,0))</f>
        <v>CID001157</v>
      </c>
      <c r="G35" s="217" t="str">
        <f ca="1">IF(C35=$X$4,"Enter smelter details",IF(ISERROR($V35),"",OFFSET('Smelter Look-up'!$F$4,$V35-4,0)))</f>
        <v>RMI</v>
      </c>
      <c r="H35" s="218">
        <f ca="1">IF(ISERROR($V35),"",OFFSET('Smelter Look-up'!$G$4,$V35-4,0))</f>
        <v>0</v>
      </c>
      <c r="I35" s="219" t="str">
        <f ca="1">IF(ISERROR($V35),"",OFFSET('Smelter Look-up'!$H$4,$V35-4,0))</f>
        <v>North Attleboro</v>
      </c>
      <c r="J35" s="219" t="str">
        <f ca="1">IF(ISERROR($V35),"",OFFSET('Smelter Look-up'!$I$4,$V35-4,0))</f>
        <v>Massachusetts</v>
      </c>
      <c r="K35" s="273"/>
      <c r="L35" s="273"/>
      <c r="M35" s="273"/>
      <c r="N35" s="273"/>
      <c r="O35" s="273"/>
      <c r="P35" s="220"/>
      <c r="Q35" s="274"/>
      <c r="R35" s="217" t="str">
        <f ca="1">IF(ISERROR($V35),"",OFFSET('Smelter Look-up'!$C$4,$V35-4,0)&amp;"")</f>
        <v>Metalor USA Refining Corporation</v>
      </c>
      <c r="S35" s="225" t="str">
        <f t="shared" ca="1" si="3"/>
        <v>US</v>
      </c>
      <c r="T35" s="225" t="str">
        <f ca="1">IF(B35="","",IF(ISERROR(MATCH($J35,SorP!$B$1:$B$6230,0)),"",INDIRECT("'SorP'!$A$"&amp;MATCH($J35,SorP!$B$1:$B$6230,0))))</f>
        <v>US-MA</v>
      </c>
      <c r="U35" s="241"/>
      <c r="V35" s="275">
        <f ca="1">IF(C35="",NA(),MATCH($B35&amp;$C35,'Smelter Look-up'!$J:$J,0))</f>
        <v>159</v>
      </c>
      <c r="W35" s="276"/>
      <c r="X35" s="276">
        <f t="shared" ca="1" si="4"/>
        <v>0</v>
      </c>
      <c r="Y35" s="276"/>
      <c r="Z35" s="276"/>
      <c r="AB35" s="278" t="str">
        <f t="shared" ca="1" si="5"/>
        <v>GoldMetalor USA Refining Corporation</v>
      </c>
    </row>
    <row r="36" spans="1:28" s="277" customFormat="1" ht="89.25">
      <c r="A36" s="347" t="s">
        <v>725</v>
      </c>
      <c r="B36" s="217" t="str">
        <f ca="1">IF(LEN(A36)=0,"",INDEX('Smelter Look-up'!$A:$A,MATCH($A36,'Smelter Look-up'!$E:$E,0)))</f>
        <v>Gold</v>
      </c>
      <c r="C36" s="221" t="str">
        <f ca="1">IF(LEN(A36)=0,"",INDEX('Smelter Look-up'!$C:$C,MATCH($A36,'Smelter Look-up'!$E:$E,0)))</f>
        <v>Metalurgica Met-Mex Penoles S.A. De C.V.</v>
      </c>
      <c r="D36" s="348" t="s">
        <v>12756</v>
      </c>
      <c r="E36" s="217" t="str">
        <f ca="1">IF(ISERROR($V36),"",OFFSET('Smelter Look-up'!$D$4,$V36-4,0)&amp;"")</f>
        <v>MEXICO</v>
      </c>
      <c r="F36" s="217" t="str">
        <f ca="1">IF(ISERROR($V36),"",OFFSET('Smelter Look-up'!$E$4,$V36-4,0))</f>
        <v>CID001161</v>
      </c>
      <c r="G36" s="217" t="str">
        <f ca="1">IF(C36=$X$4,"Enter smelter details",IF(ISERROR($V36),"",OFFSET('Smelter Look-up'!$F$4,$V36-4,0)))</f>
        <v>RMI</v>
      </c>
      <c r="H36" s="218">
        <f ca="1">IF(ISERROR($V36),"",OFFSET('Smelter Look-up'!$G$4,$V36-4,0))</f>
        <v>0</v>
      </c>
      <c r="I36" s="219" t="str">
        <f ca="1">IF(ISERROR($V36),"",OFFSET('Smelter Look-up'!$H$4,$V36-4,0))</f>
        <v>Torreon</v>
      </c>
      <c r="J36" s="219" t="str">
        <f ca="1">IF(ISERROR($V36),"",OFFSET('Smelter Look-up'!$I$4,$V36-4,0))</f>
        <v>Coahuila de Zaragoza</v>
      </c>
      <c r="K36" s="273"/>
      <c r="L36" s="273"/>
      <c r="M36" s="273"/>
      <c r="N36" s="273"/>
      <c r="O36" s="273"/>
      <c r="P36" s="220"/>
      <c r="Q36" s="274"/>
      <c r="R36" s="217" t="str">
        <f ca="1">IF(ISERROR($V36),"",OFFSET('Smelter Look-up'!$C$4,$V36-4,0)&amp;"")</f>
        <v>Metalurgica Met-Mex Penoles S.A. De C.V.</v>
      </c>
      <c r="S36" s="225" t="str">
        <f t="shared" ca="1" si="3"/>
        <v>MX</v>
      </c>
      <c r="T36" s="225" t="str">
        <f ca="1">IF(B36="","",IF(ISERROR(MATCH($J36,SorP!$B$1:$B$6230,0)),"",INDIRECT("'SorP'!$A$"&amp;MATCH($J36,SorP!$B$1:$B$6230,0))))</f>
        <v>MX-COA</v>
      </c>
      <c r="U36" s="241"/>
      <c r="V36" s="275">
        <f ca="1">IF(C36="",NA(),MATCH($B36&amp;$C36,'Smelter Look-up'!$J:$J,0))</f>
        <v>160</v>
      </c>
      <c r="W36" s="276"/>
      <c r="X36" s="276">
        <f t="shared" ca="1" si="4"/>
        <v>0</v>
      </c>
      <c r="Y36" s="276"/>
      <c r="Z36" s="276"/>
      <c r="AB36" s="278" t="str">
        <f t="shared" ca="1" si="5"/>
        <v>GoldMetalurgica Met-Mex Penoles S.A. De C.V.</v>
      </c>
    </row>
    <row r="37" spans="1:28" s="277" customFormat="1" ht="51">
      <c r="A37" s="347" t="s">
        <v>793</v>
      </c>
      <c r="B37" s="217" t="str">
        <f ca="1">IF(LEN(A37)=0,"",INDEX('Smelter Look-up'!$A:$A,MATCH($A37,'Smelter Look-up'!$E:$E,0)))</f>
        <v>Tin</v>
      </c>
      <c r="C37" s="221" t="str">
        <f ca="1">IF(LEN(A37)=0,"",INDEX('Smelter Look-up'!$C:$C,MATCH($A37,'Smelter Look-up'!$E:$E,0)))</f>
        <v>Mineracao Taboca S.A.</v>
      </c>
      <c r="D37" s="348" t="s">
        <v>12757</v>
      </c>
      <c r="E37" s="217" t="str">
        <f ca="1">IF(ISERROR($V37),"",OFFSET('Smelter Look-up'!$D$4,$V37-4,0)&amp;"")</f>
        <v>BRAZIL</v>
      </c>
      <c r="F37" s="217" t="str">
        <f ca="1">IF(ISERROR($V37),"",OFFSET('Smelter Look-up'!$E$4,$V37-4,0))</f>
        <v>CID001173</v>
      </c>
      <c r="G37" s="217" t="str">
        <f ca="1">IF(C37=$X$4,"Enter smelter details",IF(ISERROR($V37),"",OFFSET('Smelter Look-up'!$F$4,$V37-4,0)))</f>
        <v>RMI</v>
      </c>
      <c r="H37" s="218">
        <f ca="1">IF(ISERROR($V37),"",OFFSET('Smelter Look-up'!$G$4,$V37-4,0))</f>
        <v>0</v>
      </c>
      <c r="I37" s="219" t="str">
        <f ca="1">IF(ISERROR($V37),"",OFFSET('Smelter Look-up'!$H$4,$V37-4,0))</f>
        <v>Bairro Guarapiranga</v>
      </c>
      <c r="J37" s="219" t="str">
        <f ca="1">IF(ISERROR($V37),"",OFFSET('Smelter Look-up'!$I$4,$V37-4,0))</f>
        <v>São Paulo</v>
      </c>
      <c r="K37" s="273"/>
      <c r="L37" s="273"/>
      <c r="M37" s="273"/>
      <c r="N37" s="273"/>
      <c r="O37" s="273"/>
      <c r="P37" s="220"/>
      <c r="Q37" s="274"/>
      <c r="R37" s="217" t="str">
        <f ca="1">IF(ISERROR($V37),"",OFFSET('Smelter Look-up'!$C$4,$V37-4,0)&amp;"")</f>
        <v>Mineracao Taboca S.A.</v>
      </c>
      <c r="S37" s="225" t="str">
        <f t="shared" ca="1" si="3"/>
        <v>BR</v>
      </c>
      <c r="T37" s="225" t="str">
        <f ca="1">IF(B37="","",IF(ISERROR(MATCH($J37,SorP!$B$1:$B$6230,0)),"",INDIRECT("'SorP'!$A$"&amp;MATCH($J37,SorP!$B$1:$B$6230,0))))</f>
        <v>BR-SP</v>
      </c>
      <c r="U37" s="241"/>
      <c r="V37" s="275">
        <f ca="1">IF(C37="",NA(),MATCH($B37&amp;$C37,'Smelter Look-up'!$J:$J,0))</f>
        <v>421</v>
      </c>
      <c r="W37" s="276"/>
      <c r="X37" s="276">
        <f t="shared" ca="1" si="4"/>
        <v>0</v>
      </c>
      <c r="Y37" s="276"/>
      <c r="Z37" s="276"/>
      <c r="AB37" s="278" t="str">
        <f t="shared" ca="1" si="5"/>
        <v>TinMineracao Taboca S.A.</v>
      </c>
    </row>
    <row r="38" spans="1:28" s="277" customFormat="1" ht="25.5">
      <c r="A38" s="347" t="s">
        <v>794</v>
      </c>
      <c r="B38" s="217" t="str">
        <f ca="1">IF(LEN(A38)=0,"",INDEX('Smelter Look-up'!$A:$A,MATCH($A38,'Smelter Look-up'!$E:$E,0)))</f>
        <v>Tin</v>
      </c>
      <c r="C38" s="221" t="str">
        <f ca="1">IF(LEN(A38)=0,"",INDEX('Smelter Look-up'!$C:$C,MATCH($A38,'Smelter Look-up'!$E:$E,0)))</f>
        <v>Minsur</v>
      </c>
      <c r="D38" s="348" t="s">
        <v>1057</v>
      </c>
      <c r="E38" s="217" t="str">
        <f ca="1">IF(ISERROR($V38),"",OFFSET('Smelter Look-up'!$D$4,$V38-4,0)&amp;"")</f>
        <v>PERU</v>
      </c>
      <c r="F38" s="217" t="str">
        <f ca="1">IF(ISERROR($V38),"",OFFSET('Smelter Look-up'!$E$4,$V38-4,0))</f>
        <v>CID001182</v>
      </c>
      <c r="G38" s="217" t="str">
        <f ca="1">IF(C38=$X$4,"Enter smelter details",IF(ISERROR($V38),"",OFFSET('Smelter Look-up'!$F$4,$V38-4,0)))</f>
        <v>RMI</v>
      </c>
      <c r="H38" s="218">
        <f ca="1">IF(ISERROR($V38),"",OFFSET('Smelter Look-up'!$G$4,$V38-4,0))</f>
        <v>0</v>
      </c>
      <c r="I38" s="219" t="str">
        <f ca="1">IF(ISERROR($V38),"",OFFSET('Smelter Look-up'!$H$4,$V38-4,0))</f>
        <v>Paracas</v>
      </c>
      <c r="J38" s="219" t="str">
        <f ca="1">IF(ISERROR($V38),"",OFFSET('Smelter Look-up'!$I$4,$V38-4,0))</f>
        <v>Ika</v>
      </c>
      <c r="K38" s="273"/>
      <c r="L38" s="273"/>
      <c r="M38" s="273"/>
      <c r="N38" s="273"/>
      <c r="O38" s="273"/>
      <c r="P38" s="220"/>
      <c r="Q38" s="274"/>
      <c r="R38" s="217" t="str">
        <f ca="1">IF(ISERROR($V38),"",OFFSET('Smelter Look-up'!$C$4,$V38-4,0)&amp;"")</f>
        <v>Minsur</v>
      </c>
      <c r="S38" s="225" t="str">
        <f t="shared" ref="S38:S68" ca="1" si="6">IF(B38="","",IF(ISERROR(MATCH($E38,CL,0)),"Unknown",INDIRECT("'C'!$A$"&amp;MATCH($E38,CL,0)+1)))</f>
        <v>PE</v>
      </c>
      <c r="T38" s="225" t="str">
        <f ca="1">IF(B38="","",IF(ISERROR(MATCH($J38,SorP!$B$1:$B$6230,0)),"",INDIRECT("'SorP'!$A$"&amp;MATCH($J38,SorP!$B$1:$B$6230,0))))</f>
        <v>PE-ICA</v>
      </c>
      <c r="U38" s="241"/>
      <c r="V38" s="275">
        <f ca="1">IF(C38="",NA(),MATCH($B38&amp;$C38,'Smelter Look-up'!$J:$J,0))</f>
        <v>424</v>
      </c>
      <c r="W38" s="276"/>
      <c r="X38" s="276">
        <f t="shared" ref="X38:X68" ca="1" si="7">IF(AND(C38="Smelter not listed",OR(LEN(D38)=0,LEN(E38)=0)),1,0)</f>
        <v>0</v>
      </c>
      <c r="Y38" s="276"/>
      <c r="Z38" s="276"/>
      <c r="AB38" s="278" t="str">
        <f t="shared" ref="AB38:AB68" ca="1" si="8">B38&amp;C38</f>
        <v>TinMinsur</v>
      </c>
    </row>
    <row r="39" spans="1:28" s="277" customFormat="1" ht="76.5">
      <c r="A39" s="347" t="s">
        <v>795</v>
      </c>
      <c r="B39" s="217" t="str">
        <f ca="1">IF(LEN(A39)=0,"",INDEX('Smelter Look-up'!$A:$A,MATCH($A39,'Smelter Look-up'!$E:$E,0)))</f>
        <v>Tin</v>
      </c>
      <c r="C39" s="221" t="str">
        <f ca="1">IF(LEN(A39)=0,"",INDEX('Smelter Look-up'!$C:$C,MATCH($A39,'Smelter Look-up'!$E:$E,0)))</f>
        <v>Mitsubishi Materials Corporation</v>
      </c>
      <c r="D39" s="348" t="s">
        <v>1187</v>
      </c>
      <c r="E39" s="217" t="str">
        <f ca="1">IF(ISERROR($V39),"",OFFSET('Smelter Look-up'!$D$4,$V39-4,0)&amp;"")</f>
        <v>JAPAN</v>
      </c>
      <c r="F39" s="217" t="str">
        <f ca="1">IF(ISERROR($V39),"",OFFSET('Smelter Look-up'!$E$4,$V39-4,0))</f>
        <v>CID001191</v>
      </c>
      <c r="G39" s="217" t="str">
        <f ca="1">IF(C39=$X$4,"Enter smelter details",IF(ISERROR($V39),"",OFFSET('Smelter Look-up'!$F$4,$V39-4,0)))</f>
        <v>RMI</v>
      </c>
      <c r="H39" s="218">
        <f ca="1">IF(ISERROR($V39),"",OFFSET('Smelter Look-up'!$G$4,$V39-4,0))</f>
        <v>0</v>
      </c>
      <c r="I39" s="219" t="str">
        <f ca="1">IF(ISERROR($V39),"",OFFSET('Smelter Look-up'!$H$4,$V39-4,0))</f>
        <v>Asago</v>
      </c>
      <c r="J39" s="219" t="str">
        <f ca="1">IF(ISERROR($V39),"",OFFSET('Smelter Look-up'!$I$4,$V39-4,0))</f>
        <v>Hyogo</v>
      </c>
      <c r="K39" s="273"/>
      <c r="L39" s="273"/>
      <c r="M39" s="273"/>
      <c r="N39" s="273"/>
      <c r="O39" s="273"/>
      <c r="P39" s="220"/>
      <c r="Q39" s="274"/>
      <c r="R39" s="217" t="str">
        <f ca="1">IF(ISERROR($V39),"",OFFSET('Smelter Look-up'!$C$4,$V39-4,0)&amp;"")</f>
        <v>Mitsubishi Materials Corporation</v>
      </c>
      <c r="S39" s="225" t="str">
        <f t="shared" ca="1" si="6"/>
        <v>JP</v>
      </c>
      <c r="T39" s="225" t="str">
        <f ca="1">IF(B39="","",IF(ISERROR(MATCH($J39,SorP!$B$1:$B$6230,0)),"",INDIRECT("'SorP'!$A$"&amp;MATCH($J39,SorP!$B$1:$B$6230,0))))</f>
        <v>JP-28</v>
      </c>
      <c r="U39" s="241"/>
      <c r="V39" s="275">
        <f ca="1">IF(C39="",NA(),MATCH($B39&amp;$C39,'Smelter Look-up'!$J:$J,0))</f>
        <v>425</v>
      </c>
      <c r="W39" s="276"/>
      <c r="X39" s="276">
        <f t="shared" ca="1" si="7"/>
        <v>0</v>
      </c>
      <c r="Y39" s="276"/>
      <c r="Z39" s="276"/>
      <c r="AB39" s="278" t="str">
        <f t="shared" ca="1" si="8"/>
        <v>TinMitsubishi Materials Corporation</v>
      </c>
    </row>
    <row r="40" spans="1:28" s="277" customFormat="1" ht="63.75">
      <c r="A40" s="347" t="s">
        <v>798</v>
      </c>
      <c r="B40" s="217" t="str">
        <f ca="1">IF(LEN(A40)=0,"",INDEX('Smelter Look-up'!$A:$A,MATCH($A40,'Smelter Look-up'!$E:$E,0)))</f>
        <v>Tin</v>
      </c>
      <c r="C40" s="221" t="str">
        <f ca="1">IF(LEN(A40)=0,"",INDEX('Smelter Look-up'!$C:$C,MATCH($A40,'Smelter Look-up'!$E:$E,0)))</f>
        <v>Operaciones Metalurgicas S.A.</v>
      </c>
      <c r="D40" s="348" t="s">
        <v>14155</v>
      </c>
      <c r="E40" s="217" t="str">
        <f ca="1">IF(ISERROR($V40),"",OFFSET('Smelter Look-up'!$D$4,$V40-4,0)&amp;"")</f>
        <v>BOLIVIA (PLURINATIONAL STATE OF)</v>
      </c>
      <c r="F40" s="217" t="str">
        <f ca="1">IF(ISERROR($V40),"",OFFSET('Smelter Look-up'!$E$4,$V40-4,0))</f>
        <v>CID001337</v>
      </c>
      <c r="G40" s="217" t="str">
        <f ca="1">IF(C40=$X$4,"Enter smelter details",IF(ISERROR($V40),"",OFFSET('Smelter Look-up'!$F$4,$V40-4,0)))</f>
        <v>RMI</v>
      </c>
      <c r="H40" s="218">
        <f ca="1">IF(ISERROR($V40),"",OFFSET('Smelter Look-up'!$G$4,$V40-4,0))</f>
        <v>0</v>
      </c>
      <c r="I40" s="219" t="str">
        <f ca="1">IF(ISERROR($V40),"",OFFSET('Smelter Look-up'!$H$4,$V40-4,0))</f>
        <v>Oruro</v>
      </c>
      <c r="J40" s="219" t="str">
        <f ca="1">IF(ISERROR($V40),"",OFFSET('Smelter Look-up'!$I$4,$V40-4,0))</f>
        <v>Oruro</v>
      </c>
      <c r="K40" s="273"/>
      <c r="L40" s="273"/>
      <c r="M40" s="273"/>
      <c r="N40" s="273"/>
      <c r="O40" s="273"/>
      <c r="P40" s="220"/>
      <c r="Q40" s="274"/>
      <c r="R40" s="217" t="str">
        <f ca="1">IF(ISERROR($V40),"",OFFSET('Smelter Look-up'!$C$4,$V40-4,0)&amp;"")</f>
        <v>Operaciones Metalurgicas S.A.</v>
      </c>
      <c r="S40" s="225" t="str">
        <f t="shared" ca="1" si="6"/>
        <v>BO</v>
      </c>
      <c r="T40" s="225" t="str">
        <f ca="1">IF(B40="","",IF(ISERROR(MATCH($J40,SorP!$B$1:$B$6230,0)),"",INDIRECT("'SorP'!$A$"&amp;MATCH($J40,SorP!$B$1:$B$6230,0))))</f>
        <v>BO-O</v>
      </c>
      <c r="U40" s="241"/>
      <c r="V40" s="275">
        <f ca="1">IF(C40="",NA(),MATCH($B40&amp;$C40,'Smelter Look-up'!$J:$J,0))</f>
        <v>434</v>
      </c>
      <c r="W40" s="276"/>
      <c r="X40" s="276">
        <f t="shared" ca="1" si="7"/>
        <v>0</v>
      </c>
      <c r="Y40" s="276"/>
      <c r="Z40" s="276"/>
      <c r="AB40" s="278" t="str">
        <f t="shared" ca="1" si="8"/>
        <v>TinOperaciones Metalurgicas S.A.</v>
      </c>
    </row>
    <row r="41" spans="1:28" s="277" customFormat="1" ht="25.5">
      <c r="A41" s="347" t="s">
        <v>734</v>
      </c>
      <c r="B41" s="217" t="str">
        <f ca="1">IF(LEN(A41)=0,"",INDEX('Smelter Look-up'!$A:$A,MATCH($A41,'Smelter Look-up'!$E:$E,0)))</f>
        <v>Gold</v>
      </c>
      <c r="C41" s="221" t="str">
        <f ca="1">IF(LEN(A41)=0,"",INDEX('Smelter Look-up'!$C:$C,MATCH($A41,'Smelter Look-up'!$E:$E,0)))</f>
        <v>PAMP S.A.</v>
      </c>
      <c r="D41" s="348" t="s">
        <v>2439</v>
      </c>
      <c r="E41" s="217" t="str">
        <f ca="1">IF(ISERROR($V41),"",OFFSET('Smelter Look-up'!$D$4,$V41-4,0)&amp;"")</f>
        <v>SWITZERLAND</v>
      </c>
      <c r="F41" s="217" t="str">
        <f ca="1">IF(ISERROR($V41),"",OFFSET('Smelter Look-up'!$E$4,$V41-4,0))</f>
        <v>CID001352</v>
      </c>
      <c r="G41" s="217" t="str">
        <f ca="1">IF(C41=$X$4,"Enter smelter details",IF(ISERROR($V41),"",OFFSET('Smelter Look-up'!$F$4,$V41-4,0)))</f>
        <v>RMI</v>
      </c>
      <c r="H41" s="218">
        <f ca="1">IF(ISERROR($V41),"",OFFSET('Smelter Look-up'!$G$4,$V41-4,0))</f>
        <v>0</v>
      </c>
      <c r="I41" s="219" t="str">
        <f ca="1">IF(ISERROR($V41),"",OFFSET('Smelter Look-up'!$H$4,$V41-4,0))</f>
        <v>Castel San Pietro</v>
      </c>
      <c r="J41" s="219" t="str">
        <f ca="1">IF(ISERROR($V41),"",OFFSET('Smelter Look-up'!$I$4,$V41-4,0))</f>
        <v>Ticino</v>
      </c>
      <c r="K41" s="273"/>
      <c r="L41" s="273"/>
      <c r="M41" s="273"/>
      <c r="N41" s="273"/>
      <c r="O41" s="273"/>
      <c r="P41" s="220"/>
      <c r="Q41" s="274"/>
      <c r="R41" s="217" t="str">
        <f ca="1">IF(ISERROR($V41),"",OFFSET('Smelter Look-up'!$C$4,$V41-4,0)&amp;"")</f>
        <v>PAMP S.A.</v>
      </c>
      <c r="S41" s="225" t="str">
        <f t="shared" ca="1" si="6"/>
        <v>CH</v>
      </c>
      <c r="T41" s="225" t="str">
        <f ca="1">IF(B41="","",IF(ISERROR(MATCH($J41,SorP!$B$1:$B$6230,0)),"",INDIRECT("'SorP'!$A$"&amp;MATCH($J41,SorP!$B$1:$B$6230,0))))</f>
        <v>CH-TI</v>
      </c>
      <c r="U41" s="241"/>
      <c r="V41" s="275">
        <f ca="1">IF(C41="",NA(),MATCH($B41&amp;$C41,'Smelter Look-up'!$J:$J,0))</f>
        <v>184</v>
      </c>
      <c r="W41" s="276"/>
      <c r="X41" s="276">
        <f t="shared" ca="1" si="7"/>
        <v>0</v>
      </c>
      <c r="Y41" s="276"/>
      <c r="Z41" s="276"/>
      <c r="AB41" s="278" t="str">
        <f t="shared" ca="1" si="8"/>
        <v>GoldPAMP S.A.</v>
      </c>
    </row>
    <row r="42" spans="1:28" s="277" customFormat="1" ht="63.75">
      <c r="A42" s="347" t="s">
        <v>799</v>
      </c>
      <c r="B42" s="217" t="str">
        <f ca="1">IF(LEN(A42)=0,"",INDEX('Smelter Look-up'!$A:$A,MATCH($A42,'Smelter Look-up'!$E:$E,0)))</f>
        <v>Tin</v>
      </c>
      <c r="C42" s="221" t="str">
        <f ca="1">IF(LEN(A42)=0,"",INDEX('Smelter Look-up'!$C:$C,MATCH($A42,'Smelter Look-up'!$E:$E,0)))</f>
        <v>PT Artha Cipta Langgeng</v>
      </c>
      <c r="D42" s="348" t="s">
        <v>867</v>
      </c>
      <c r="E42" s="217" t="str">
        <f ca="1">IF(ISERROR($V42),"",OFFSET('Smelter Look-up'!$D$4,$V42-4,0)&amp;"")</f>
        <v>INDONESIA</v>
      </c>
      <c r="F42" s="217" t="str">
        <f ca="1">IF(ISERROR($V42),"",OFFSET('Smelter Look-up'!$E$4,$V42-4,0))</f>
        <v>CID001399</v>
      </c>
      <c r="G42" s="217" t="str">
        <f ca="1">IF(C42=$X$4,"Enter smelter details",IF(ISERROR($V42),"",OFFSET('Smelter Look-up'!$F$4,$V42-4,0)))</f>
        <v>RMI</v>
      </c>
      <c r="H42" s="218">
        <f ca="1">IF(ISERROR($V42),"",OFFSET('Smelter Look-up'!$G$4,$V42-4,0))</f>
        <v>0</v>
      </c>
      <c r="I42" s="219" t="str">
        <f ca="1">IF(ISERROR($V42),"",OFFSET('Smelter Look-up'!$H$4,$V42-4,0))</f>
        <v>Sungailiat</v>
      </c>
      <c r="J42" s="219" t="str">
        <f ca="1">IF(ISERROR($V42),"",OFFSET('Smelter Look-up'!$I$4,$V42-4,0))</f>
        <v>Kepulauan Bangka Belitung</v>
      </c>
      <c r="K42" s="273"/>
      <c r="L42" s="273"/>
      <c r="M42" s="273"/>
      <c r="N42" s="273"/>
      <c r="O42" s="273"/>
      <c r="P42" s="220"/>
      <c r="Q42" s="274"/>
      <c r="R42" s="217" t="str">
        <f ca="1">IF(ISERROR($V42),"",OFFSET('Smelter Look-up'!$C$4,$V42-4,0)&amp;"")</f>
        <v>PT Artha Cipta Langgeng</v>
      </c>
      <c r="S42" s="225" t="str">
        <f t="shared" ca="1" si="6"/>
        <v>ID</v>
      </c>
      <c r="T42" s="225" t="str">
        <f ca="1">IF(B42="","",IF(ISERROR(MATCH($J42,SorP!$B$1:$B$6230,0)),"",INDIRECT("'SorP'!$A$"&amp;MATCH($J42,SorP!$B$1:$B$6230,0))))</f>
        <v>ID-BB</v>
      </c>
      <c r="U42" s="241"/>
      <c r="V42" s="275">
        <f ca="1">IF(C42="",NA(),MATCH($B42&amp;$C42,'Smelter Look-up'!$J:$J,0))</f>
        <v>438</v>
      </c>
      <c r="W42" s="276"/>
      <c r="X42" s="276">
        <f t="shared" ca="1" si="7"/>
        <v>0</v>
      </c>
      <c r="Y42" s="276"/>
      <c r="Z42" s="276"/>
      <c r="AB42" s="278" t="str">
        <f t="shared" ca="1" si="8"/>
        <v>TinPT Artha Cipta Langgeng</v>
      </c>
    </row>
    <row r="43" spans="1:28" s="277" customFormat="1" ht="38.25">
      <c r="A43" s="347" t="s">
        <v>15517</v>
      </c>
      <c r="B43" s="217" t="s">
        <v>1154</v>
      </c>
      <c r="C43" s="221" t="s">
        <v>1898</v>
      </c>
      <c r="D43" s="348" t="s">
        <v>15518</v>
      </c>
      <c r="E43" s="217" t="s">
        <v>1128</v>
      </c>
      <c r="F43" s="217" t="s">
        <v>15517</v>
      </c>
      <c r="G43" s="217" t="s">
        <v>13577</v>
      </c>
      <c r="H43" s="218">
        <f ca="1">IF(ISERROR($V43),"",OFFSET('Smelter Look-up'!$G$4,$V43-4,0))</f>
        <v>0</v>
      </c>
      <c r="I43" s="219" t="s">
        <v>15528</v>
      </c>
      <c r="J43" s="219" t="s">
        <v>13183</v>
      </c>
      <c r="K43" s="273"/>
      <c r="L43" s="273"/>
      <c r="M43" s="273"/>
      <c r="N43" s="273"/>
      <c r="O43" s="273"/>
      <c r="P43" s="220"/>
      <c r="Q43" s="274"/>
      <c r="R43" s="217" t="str">
        <f ca="1">IF(ISERROR($V43),"",OFFSET('Smelter Look-up'!$C$4,$V43-4,0)&amp;"")</f>
        <v/>
      </c>
      <c r="S43" s="225" t="str">
        <f t="shared" ca="1" si="6"/>
        <v>ID</v>
      </c>
      <c r="T43" s="225" t="str">
        <f ca="1">IF(B43="","",IF(ISERROR(MATCH($J43,SorP!$B$1:$B$6230,0)),"",INDIRECT("'SorP'!$A$"&amp;MATCH($J43,SorP!$B$1:$B$6230,0))))</f>
        <v>ID-BB</v>
      </c>
      <c r="U43" s="241"/>
      <c r="V43" s="275">
        <f>IF(C43="",NA(),MATCH($B43&amp;$C43,'Smelter Look-up'!$J:$J,0))</f>
        <v>484</v>
      </c>
      <c r="W43" s="276"/>
      <c r="X43" s="276">
        <f t="shared" si="7"/>
        <v>0</v>
      </c>
      <c r="Y43" s="276"/>
      <c r="Z43" s="276"/>
      <c r="AB43" s="278" t="str">
        <f t="shared" si="8"/>
        <v>TinSmelter not listed</v>
      </c>
    </row>
    <row r="44" spans="1:28" s="277" customFormat="1" ht="51">
      <c r="A44" s="347" t="s">
        <v>800</v>
      </c>
      <c r="B44" s="217" t="str">
        <f ca="1">IF(LEN(A44)=0,"",INDEX('Smelter Look-up'!$A:$A,MATCH($A44,'Smelter Look-up'!$E:$E,0)))</f>
        <v>Tin</v>
      </c>
      <c r="C44" s="221" t="str">
        <f ca="1">IF(LEN(A44)=0,"",INDEX('Smelter Look-up'!$C:$C,MATCH($A44,'Smelter Look-up'!$E:$E,0)))</f>
        <v>PT Mitra Stania Prima</v>
      </c>
      <c r="D44" s="348" t="s">
        <v>643</v>
      </c>
      <c r="E44" s="217" t="str">
        <f ca="1">IF(ISERROR($V44),"",OFFSET('Smelter Look-up'!$D$4,$V44-4,0)&amp;"")</f>
        <v>INDONESIA</v>
      </c>
      <c r="F44" s="217" t="str">
        <f ca="1">IF(ISERROR($V44),"",OFFSET('Smelter Look-up'!$E$4,$V44-4,0))</f>
        <v>CID001453</v>
      </c>
      <c r="G44" s="217" t="str">
        <f ca="1">IF(C44=$X$4,"Enter smelter details",IF(ISERROR($V44),"",OFFSET('Smelter Look-up'!$F$4,$V44-4,0)))</f>
        <v>RMI</v>
      </c>
      <c r="H44" s="218">
        <f ca="1">IF(ISERROR($V44),"",OFFSET('Smelter Look-up'!$G$4,$V44-4,0))</f>
        <v>0</v>
      </c>
      <c r="I44" s="219" t="str">
        <f ca="1">IF(ISERROR($V44),"",OFFSET('Smelter Look-up'!$H$4,$V44-4,0))</f>
        <v>Sungailiat</v>
      </c>
      <c r="J44" s="219" t="str">
        <f ca="1">IF(ISERROR($V44),"",OFFSET('Smelter Look-up'!$I$4,$V44-4,0))</f>
        <v>Kepulauan Bangka Belitung</v>
      </c>
      <c r="K44" s="273"/>
      <c r="L44" s="273"/>
      <c r="M44" s="273"/>
      <c r="N44" s="273"/>
      <c r="O44" s="273"/>
      <c r="P44" s="220"/>
      <c r="Q44" s="274"/>
      <c r="R44" s="217" t="str">
        <f ca="1">IF(ISERROR($V44),"",OFFSET('Smelter Look-up'!$C$4,$V44-4,0)&amp;"")</f>
        <v>PT Mitra Stania Prima</v>
      </c>
      <c r="S44" s="225" t="str">
        <f t="shared" ca="1" si="6"/>
        <v>ID</v>
      </c>
      <c r="T44" s="225" t="str">
        <f ca="1">IF(B44="","",IF(ISERROR(MATCH($J44,SorP!$B$1:$B$6230,0)),"",INDIRECT("'SorP'!$A$"&amp;MATCH($J44,SorP!$B$1:$B$6230,0))))</f>
        <v>ID-BB</v>
      </c>
      <c r="U44" s="241"/>
      <c r="V44" s="275">
        <f ca="1">IF(C44="",NA(),MATCH($B44&amp;$C44,'Smelter Look-up'!$J:$J,0))</f>
        <v>441</v>
      </c>
      <c r="W44" s="276"/>
      <c r="X44" s="276">
        <f t="shared" ca="1" si="7"/>
        <v>0</v>
      </c>
      <c r="Y44" s="276"/>
      <c r="Z44" s="276"/>
      <c r="AB44" s="278" t="str">
        <f t="shared" ca="1" si="8"/>
        <v>TinPT Mitra Stania Prima</v>
      </c>
    </row>
    <row r="45" spans="1:28" s="277" customFormat="1" ht="38.25">
      <c r="A45" s="347" t="s">
        <v>15519</v>
      </c>
      <c r="B45" s="217" t="s">
        <v>1154</v>
      </c>
      <c r="C45" s="221" t="s">
        <v>1898</v>
      </c>
      <c r="D45" s="348" t="s">
        <v>15520</v>
      </c>
      <c r="E45" s="217" t="s">
        <v>1128</v>
      </c>
      <c r="F45" s="217" t="s">
        <v>15519</v>
      </c>
      <c r="G45" s="217" t="s">
        <v>13577</v>
      </c>
      <c r="H45" s="218">
        <f ca="1">IF(ISERROR($V45),"",OFFSET('Smelter Look-up'!$G$4,$V45-4,0))</f>
        <v>0</v>
      </c>
      <c r="I45" s="219" t="s">
        <v>15529</v>
      </c>
      <c r="J45" s="219" t="s">
        <v>13183</v>
      </c>
      <c r="K45" s="273"/>
      <c r="L45" s="273"/>
      <c r="M45" s="273"/>
      <c r="N45" s="273"/>
      <c r="O45" s="273"/>
      <c r="P45" s="220"/>
      <c r="Q45" s="274"/>
      <c r="R45" s="217" t="str">
        <f ca="1">IF(ISERROR($V45),"",OFFSET('Smelter Look-up'!$C$4,$V45-4,0)&amp;"")</f>
        <v/>
      </c>
      <c r="S45" s="225" t="str">
        <f t="shared" ca="1" si="6"/>
        <v>ID</v>
      </c>
      <c r="T45" s="225" t="str">
        <f ca="1">IF(B45="","",IF(ISERROR(MATCH($J45,SorP!$B$1:$B$6230,0)),"",INDIRECT("'SorP'!$A$"&amp;MATCH($J45,SorP!$B$1:$B$6230,0))))</f>
        <v>ID-BB</v>
      </c>
      <c r="U45" s="241"/>
      <c r="V45" s="275">
        <f>IF(C45="",NA(),MATCH($B45&amp;$C45,'Smelter Look-up'!$J:$J,0))</f>
        <v>484</v>
      </c>
      <c r="W45" s="276"/>
      <c r="X45" s="276">
        <f t="shared" si="7"/>
        <v>0</v>
      </c>
      <c r="Y45" s="276"/>
      <c r="Z45" s="276"/>
      <c r="AB45" s="278" t="str">
        <f t="shared" si="8"/>
        <v>TinSmelter not listed</v>
      </c>
    </row>
    <row r="46" spans="1:28" s="277" customFormat="1" ht="51">
      <c r="A46" s="347" t="s">
        <v>801</v>
      </c>
      <c r="B46" s="217" t="str">
        <f ca="1">IF(LEN(A46)=0,"",INDEX('Smelter Look-up'!$A:$A,MATCH($A46,'Smelter Look-up'!$E:$E,0)))</f>
        <v>Tin</v>
      </c>
      <c r="C46" s="221" t="str">
        <f ca="1">IF(LEN(A46)=0,"",INDEX('Smelter Look-up'!$C:$C,MATCH($A46,'Smelter Look-up'!$E:$E,0)))</f>
        <v>PT Refined Bangka Tin</v>
      </c>
      <c r="D46" s="348" t="s">
        <v>2262</v>
      </c>
      <c r="E46" s="217" t="str">
        <f ca="1">IF(ISERROR($V46),"",OFFSET('Smelter Look-up'!$D$4,$V46-4,0)&amp;"")</f>
        <v>INDONESIA</v>
      </c>
      <c r="F46" s="217" t="str">
        <f ca="1">IF(ISERROR($V46),"",OFFSET('Smelter Look-up'!$E$4,$V46-4,0))</f>
        <v>CID001460</v>
      </c>
      <c r="G46" s="217" t="str">
        <f ca="1">IF(C46=$X$4,"Enter smelter details",IF(ISERROR($V46),"",OFFSET('Smelter Look-up'!$F$4,$V46-4,0)))</f>
        <v>RMI</v>
      </c>
      <c r="H46" s="218">
        <f ca="1">IF(ISERROR($V46),"",OFFSET('Smelter Look-up'!$G$4,$V46-4,0))</f>
        <v>0</v>
      </c>
      <c r="I46" s="219" t="str">
        <f ca="1">IF(ISERROR($V46),"",OFFSET('Smelter Look-up'!$H$4,$V46-4,0))</f>
        <v>Sungailiat</v>
      </c>
      <c r="J46" s="219" t="str">
        <f ca="1">IF(ISERROR($V46),"",OFFSET('Smelter Look-up'!$I$4,$V46-4,0))</f>
        <v>Kepulauan Bangka Belitung</v>
      </c>
      <c r="K46" s="273"/>
      <c r="L46" s="273"/>
      <c r="M46" s="273"/>
      <c r="N46" s="273"/>
      <c r="O46" s="273"/>
      <c r="P46" s="220"/>
      <c r="Q46" s="274"/>
      <c r="R46" s="217" t="str">
        <f ca="1">IF(ISERROR($V46),"",OFFSET('Smelter Look-up'!$C$4,$V46-4,0)&amp;"")</f>
        <v>PT Refined Bangka Tin</v>
      </c>
      <c r="S46" s="225" t="str">
        <f t="shared" ca="1" si="6"/>
        <v>ID</v>
      </c>
      <c r="T46" s="225" t="str">
        <f ca="1">IF(B46="","",IF(ISERROR(MATCH($J46,SorP!$B$1:$B$6230,0)),"",INDIRECT("'SorP'!$A$"&amp;MATCH($J46,SorP!$B$1:$B$6230,0))))</f>
        <v>ID-BB</v>
      </c>
      <c r="U46" s="241"/>
      <c r="V46" s="275">
        <f ca="1">IF(C46="",NA(),MATCH($B46&amp;$C46,'Smelter Look-up'!$J:$J,0))</f>
        <v>443</v>
      </c>
      <c r="W46" s="276"/>
      <c r="X46" s="276">
        <f t="shared" ca="1" si="7"/>
        <v>0</v>
      </c>
      <c r="Y46" s="276"/>
      <c r="Z46" s="276"/>
      <c r="AB46" s="278" t="str">
        <f t="shared" ca="1" si="8"/>
        <v>TinPT Refined Bangka Tin</v>
      </c>
    </row>
    <row r="47" spans="1:28" s="277" customFormat="1" ht="38.25">
      <c r="A47" s="347" t="s">
        <v>15521</v>
      </c>
      <c r="B47" s="217" t="s">
        <v>1154</v>
      </c>
      <c r="C47" s="221" t="s">
        <v>1898</v>
      </c>
      <c r="D47" s="348" t="s">
        <v>15522</v>
      </c>
      <c r="E47" s="217" t="s">
        <v>1128</v>
      </c>
      <c r="F47" s="217" t="s">
        <v>15521</v>
      </c>
      <c r="G47" s="217" t="s">
        <v>13577</v>
      </c>
      <c r="H47" s="218">
        <f ca="1">IF(ISERROR($V47),"",OFFSET('Smelter Look-up'!$G$4,$V47-4,0))</f>
        <v>0</v>
      </c>
      <c r="I47" s="219" t="s">
        <v>15529</v>
      </c>
      <c r="J47" s="219" t="s">
        <v>13183</v>
      </c>
      <c r="K47" s="273"/>
      <c r="L47" s="273"/>
      <c r="M47" s="273"/>
      <c r="N47" s="273"/>
      <c r="O47" s="273"/>
      <c r="P47" s="220"/>
      <c r="Q47" s="274"/>
      <c r="R47" s="217" t="str">
        <f ca="1">IF(ISERROR($V47),"",OFFSET('Smelter Look-up'!$C$4,$V47-4,0)&amp;"")</f>
        <v/>
      </c>
      <c r="S47" s="225" t="str">
        <f t="shared" ca="1" si="6"/>
        <v>ID</v>
      </c>
      <c r="T47" s="225" t="str">
        <f ca="1">IF(B47="","",IF(ISERROR(MATCH($J47,SorP!$B$1:$B$6230,0)),"",INDIRECT("'SorP'!$A$"&amp;MATCH($J47,SorP!$B$1:$B$6230,0))))</f>
        <v>ID-BB</v>
      </c>
      <c r="U47" s="241"/>
      <c r="V47" s="275">
        <f>IF(C47="",NA(),MATCH($B47&amp;$C47,'Smelter Look-up'!$J:$J,0))</f>
        <v>484</v>
      </c>
      <c r="W47" s="276"/>
      <c r="X47" s="276">
        <f t="shared" si="7"/>
        <v>0</v>
      </c>
      <c r="Y47" s="276"/>
      <c r="Z47" s="276"/>
      <c r="AB47" s="278" t="str">
        <f t="shared" si="8"/>
        <v>TinSmelter not listed</v>
      </c>
    </row>
    <row r="48" spans="1:28" s="277" customFormat="1" ht="51">
      <c r="A48" s="347" t="s">
        <v>824</v>
      </c>
      <c r="B48" s="217" t="str">
        <f ca="1">IF(LEN(A48)=0,"",INDEX('Smelter Look-up'!$A:$A,MATCH($A48,'Smelter Look-up'!$E:$E,0)))</f>
        <v>Tin</v>
      </c>
      <c r="C48" s="221" t="str">
        <f ca="1">IF(LEN(A48)=0,"",INDEX('Smelter Look-up'!$C:$C,MATCH($A48,'Smelter Look-up'!$E:$E,0)))</f>
        <v>PT Timah Tbk Kundur</v>
      </c>
      <c r="D48" s="348" t="s">
        <v>14152</v>
      </c>
      <c r="E48" s="217" t="str">
        <f ca="1">IF(ISERROR($V48),"",OFFSET('Smelter Look-up'!$D$4,$V48-4,0)&amp;"")</f>
        <v>INDONESIA</v>
      </c>
      <c r="F48" s="217" t="str">
        <f ca="1">IF(ISERROR($V48),"",OFFSET('Smelter Look-up'!$E$4,$V48-4,0))</f>
        <v>CID001477</v>
      </c>
      <c r="G48" s="217" t="str">
        <f ca="1">IF(C48=$X$4,"Enter smelter details",IF(ISERROR($V48),"",OFFSET('Smelter Look-up'!$F$4,$V48-4,0)))</f>
        <v>RMI</v>
      </c>
      <c r="H48" s="218">
        <f ca="1">IF(ISERROR($V48),"",OFFSET('Smelter Look-up'!$G$4,$V48-4,0))</f>
        <v>0</v>
      </c>
      <c r="I48" s="219" t="str">
        <f ca="1">IF(ISERROR($V48),"",OFFSET('Smelter Look-up'!$H$4,$V48-4,0))</f>
        <v>Kundur</v>
      </c>
      <c r="J48" s="219" t="str">
        <f ca="1">IF(ISERROR($V48),"",OFFSET('Smelter Look-up'!$I$4,$V48-4,0))</f>
        <v>Riau</v>
      </c>
      <c r="K48" s="273"/>
      <c r="L48" s="273"/>
      <c r="M48" s="273"/>
      <c r="N48" s="273"/>
      <c r="O48" s="273"/>
      <c r="P48" s="220"/>
      <c r="Q48" s="274"/>
      <c r="R48" s="217" t="str">
        <f ca="1">IF(ISERROR($V48),"",OFFSET('Smelter Look-up'!$C$4,$V48-4,0)&amp;"")</f>
        <v>PT Timah Tbk Kundur</v>
      </c>
      <c r="S48" s="225" t="str">
        <f t="shared" ca="1" si="6"/>
        <v>ID</v>
      </c>
      <c r="T48" s="225" t="str">
        <f ca="1">IF(B48="","",IF(ISERROR(MATCH($J48,SorP!$B$1:$B$6230,0)),"",INDIRECT("'SorP'!$A$"&amp;MATCH($J48,SorP!$B$1:$B$6230,0))))</f>
        <v>ID-RI</v>
      </c>
      <c r="U48" s="241"/>
      <c r="V48" s="275">
        <f ca="1">IF(C48="",NA(),MATCH($B48&amp;$C48,'Smelter Look-up'!$J:$J,0))</f>
        <v>445</v>
      </c>
      <c r="W48" s="276"/>
      <c r="X48" s="276">
        <f t="shared" ca="1" si="7"/>
        <v>0</v>
      </c>
      <c r="Y48" s="276"/>
      <c r="Z48" s="276"/>
      <c r="AB48" s="278" t="str">
        <f t="shared" ca="1" si="8"/>
        <v>TinPT Timah Tbk Kundur</v>
      </c>
    </row>
    <row r="49" spans="1:28" s="277" customFormat="1" ht="51">
      <c r="A49" s="347" t="s">
        <v>802</v>
      </c>
      <c r="B49" s="217" t="str">
        <f ca="1">IF(LEN(A49)=0,"",INDEX('Smelter Look-up'!$A:$A,MATCH($A49,'Smelter Look-up'!$E:$E,0)))</f>
        <v>Tin</v>
      </c>
      <c r="C49" s="221" t="str">
        <f ca="1">IF(LEN(A49)=0,"",INDEX('Smelter Look-up'!$C:$C,MATCH($A49,'Smelter Look-up'!$E:$E,0)))</f>
        <v>PT Timah Tbk Mentok</v>
      </c>
      <c r="D49" s="348" t="s">
        <v>14151</v>
      </c>
      <c r="E49" s="217" t="str">
        <f ca="1">IF(ISERROR($V49),"",OFFSET('Smelter Look-up'!$D$4,$V49-4,0)&amp;"")</f>
        <v>INDONESIA</v>
      </c>
      <c r="F49" s="217" t="str">
        <f ca="1">IF(ISERROR($V49),"",OFFSET('Smelter Look-up'!$E$4,$V49-4,0))</f>
        <v>CID001482</v>
      </c>
      <c r="G49" s="217" t="str">
        <f ca="1">IF(C49=$X$4,"Enter smelter details",IF(ISERROR($V49),"",OFFSET('Smelter Look-up'!$F$4,$V49-4,0)))</f>
        <v>RMI</v>
      </c>
      <c r="H49" s="218">
        <f ca="1">IF(ISERROR($V49),"",OFFSET('Smelter Look-up'!$G$4,$V49-4,0))</f>
        <v>0</v>
      </c>
      <c r="I49" s="219" t="str">
        <f ca="1">IF(ISERROR($V49),"",OFFSET('Smelter Look-up'!$H$4,$V49-4,0))</f>
        <v>Mentok</v>
      </c>
      <c r="J49" s="219" t="str">
        <f ca="1">IF(ISERROR($V49),"",OFFSET('Smelter Look-up'!$I$4,$V49-4,0))</f>
        <v>Kepulauan Bangka Belitung</v>
      </c>
      <c r="K49" s="273"/>
      <c r="L49" s="273"/>
      <c r="M49" s="273"/>
      <c r="N49" s="273"/>
      <c r="O49" s="273"/>
      <c r="P49" s="220"/>
      <c r="Q49" s="274"/>
      <c r="R49" s="217" t="str">
        <f ca="1">IF(ISERROR($V49),"",OFFSET('Smelter Look-up'!$C$4,$V49-4,0)&amp;"")</f>
        <v>PT Timah Tbk Mentok</v>
      </c>
      <c r="S49" s="225" t="str">
        <f t="shared" ca="1" si="6"/>
        <v>ID</v>
      </c>
      <c r="T49" s="225" t="str">
        <f ca="1">IF(B49="","",IF(ISERROR(MATCH($J49,SorP!$B$1:$B$6230,0)),"",INDIRECT("'SorP'!$A$"&amp;MATCH($J49,SorP!$B$1:$B$6230,0))))</f>
        <v>ID-BB</v>
      </c>
      <c r="U49" s="241"/>
      <c r="V49" s="275">
        <f ca="1">IF(C49="",NA(),MATCH($B49&amp;$C49,'Smelter Look-up'!$J:$J,0))</f>
        <v>446</v>
      </c>
      <c r="W49" s="276"/>
      <c r="X49" s="276">
        <f t="shared" ca="1" si="7"/>
        <v>0</v>
      </c>
      <c r="Y49" s="276"/>
      <c r="Z49" s="276"/>
      <c r="AB49" s="278" t="str">
        <f t="shared" ca="1" si="8"/>
        <v>TinPT Timah Tbk Mentok</v>
      </c>
    </row>
    <row r="50" spans="1:28" s="277" customFormat="1" ht="38.25">
      <c r="A50" s="347" t="s">
        <v>15523</v>
      </c>
      <c r="B50" s="217" t="s">
        <v>1154</v>
      </c>
      <c r="C50" s="221" t="s">
        <v>1898</v>
      </c>
      <c r="D50" s="348" t="s">
        <v>15524</v>
      </c>
      <c r="E50" s="217" t="s">
        <v>1128</v>
      </c>
      <c r="F50" s="217" t="s">
        <v>15523</v>
      </c>
      <c r="G50" s="217" t="s">
        <v>13577</v>
      </c>
      <c r="H50" s="218">
        <f ca="1">IF(ISERROR($V50),"",OFFSET('Smelter Look-up'!$G$4,$V50-4,0))</f>
        <v>0</v>
      </c>
      <c r="I50" s="219" t="s">
        <v>15529</v>
      </c>
      <c r="J50" s="219" t="s">
        <v>13183</v>
      </c>
      <c r="K50" s="273"/>
      <c r="L50" s="273"/>
      <c r="M50" s="273"/>
      <c r="N50" s="273"/>
      <c r="O50" s="273"/>
      <c r="P50" s="220"/>
      <c r="Q50" s="274"/>
      <c r="R50" s="217" t="str">
        <f ca="1">IF(ISERROR($V50),"",OFFSET('Smelter Look-up'!$C$4,$V50-4,0)&amp;"")</f>
        <v/>
      </c>
      <c r="S50" s="225" t="str">
        <f t="shared" ca="1" si="6"/>
        <v>ID</v>
      </c>
      <c r="T50" s="225" t="str">
        <f ca="1">IF(B50="","",IF(ISERROR(MATCH($J50,SorP!$B$1:$B$6230,0)),"",INDIRECT("'SorP'!$A$"&amp;MATCH($J50,SorP!$B$1:$B$6230,0))))</f>
        <v>ID-BB</v>
      </c>
      <c r="U50" s="241"/>
      <c r="V50" s="275">
        <f>IF(C50="",NA(),MATCH($B50&amp;$C50,'Smelter Look-up'!$J:$J,0))</f>
        <v>484</v>
      </c>
      <c r="W50" s="276"/>
      <c r="X50" s="276">
        <f t="shared" si="7"/>
        <v>0</v>
      </c>
      <c r="Y50" s="276"/>
      <c r="Z50" s="276"/>
      <c r="AB50" s="278" t="str">
        <f t="shared" si="8"/>
        <v>TinSmelter not listed</v>
      </c>
    </row>
    <row r="51" spans="1:28" s="277" customFormat="1" ht="51">
      <c r="A51" s="347" t="s">
        <v>740</v>
      </c>
      <c r="B51" s="217" t="str">
        <f ca="1">IF(LEN(A51)=0,"",INDEX('Smelter Look-up'!$A:$A,MATCH($A51,'Smelter Look-up'!$E:$E,0)))</f>
        <v>Gold</v>
      </c>
      <c r="C51" s="221" t="str">
        <f ca="1">IF(LEN(A51)=0,"",INDEX('Smelter Look-up'!$C:$C,MATCH($A51,'Smelter Look-up'!$E:$E,0)))</f>
        <v>Royal Canadian Mint</v>
      </c>
      <c r="D51" s="348" t="s">
        <v>936</v>
      </c>
      <c r="E51" s="217" t="str">
        <f ca="1">IF(ISERROR($V51),"",OFFSET('Smelter Look-up'!$D$4,$V51-4,0)&amp;"")</f>
        <v>CANADA</v>
      </c>
      <c r="F51" s="217" t="str">
        <f ca="1">IF(ISERROR($V51),"",OFFSET('Smelter Look-up'!$E$4,$V51-4,0))</f>
        <v>CID001534</v>
      </c>
      <c r="G51" s="217" t="str">
        <f ca="1">IF(C51=$X$4,"Enter smelter details",IF(ISERROR($V51),"",OFFSET('Smelter Look-up'!$F$4,$V51-4,0)))</f>
        <v>RMI</v>
      </c>
      <c r="H51" s="218">
        <f ca="1">IF(ISERROR($V51),"",OFFSET('Smelter Look-up'!$G$4,$V51-4,0))</f>
        <v>0</v>
      </c>
      <c r="I51" s="219" t="str">
        <f ca="1">IF(ISERROR($V51),"",OFFSET('Smelter Look-up'!$H$4,$V51-4,0))</f>
        <v>Ottawa</v>
      </c>
      <c r="J51" s="219" t="str">
        <f ca="1">IF(ISERROR($V51),"",OFFSET('Smelter Look-up'!$I$4,$V51-4,0))</f>
        <v>Ontario</v>
      </c>
      <c r="K51" s="273"/>
      <c r="L51" s="273"/>
      <c r="M51" s="273"/>
      <c r="N51" s="273"/>
      <c r="O51" s="273"/>
      <c r="P51" s="220"/>
      <c r="Q51" s="274"/>
      <c r="R51" s="217" t="str">
        <f ca="1">IF(ISERROR($V51),"",OFFSET('Smelter Look-up'!$C$4,$V51-4,0)&amp;"")</f>
        <v>Royal Canadian Mint</v>
      </c>
      <c r="S51" s="225" t="str">
        <f t="shared" ca="1" si="6"/>
        <v>CA</v>
      </c>
      <c r="T51" s="225" t="str">
        <f ca="1">IF(B51="","",IF(ISERROR(MATCH($J51,SorP!$B$1:$B$6230,0)),"",INDIRECT("'SorP'!$A$"&amp;MATCH($J51,SorP!$B$1:$B$6230,0))))</f>
        <v>CA-ON</v>
      </c>
      <c r="U51" s="241"/>
      <c r="V51" s="275">
        <f ca="1">IF(C51="",NA(),MATCH($B51&amp;$C51,'Smelter Look-up'!$J:$J,0))</f>
        <v>202</v>
      </c>
      <c r="W51" s="276"/>
      <c r="X51" s="276">
        <f t="shared" ca="1" si="7"/>
        <v>0</v>
      </c>
      <c r="Y51" s="276"/>
      <c r="Z51" s="276"/>
      <c r="AB51" s="278" t="str">
        <f t="shared" ca="1" si="8"/>
        <v>GoldRoyal Canadian Mint</v>
      </c>
    </row>
    <row r="52" spans="1:28" s="277" customFormat="1" ht="25.5">
      <c r="A52" s="347" t="s">
        <v>804</v>
      </c>
      <c r="B52" s="217" t="str">
        <f ca="1">IF(LEN(A52)=0,"",INDEX('Smelter Look-up'!$A:$A,MATCH($A52,'Smelter Look-up'!$E:$E,0)))</f>
        <v>Tin</v>
      </c>
      <c r="C52" s="221" t="str">
        <f ca="1">IF(LEN(A52)=0,"",INDEX('Smelter Look-up'!$C:$C,MATCH($A52,'Smelter Look-up'!$E:$E,0)))</f>
        <v>Rui Da Hung</v>
      </c>
      <c r="D52" s="348" t="s">
        <v>803</v>
      </c>
      <c r="E52" s="217" t="str">
        <f ca="1">IF(ISERROR($V52),"",OFFSET('Smelter Look-up'!$D$4,$V52-4,0)&amp;"")</f>
        <v>TAIWAN, PROVINCE OF CHINA</v>
      </c>
      <c r="F52" s="217" t="str">
        <f ca="1">IF(ISERROR($V52),"",OFFSET('Smelter Look-up'!$E$4,$V52-4,0))</f>
        <v>CID001539</v>
      </c>
      <c r="G52" s="217" t="str">
        <f ca="1">IF(C52=$X$4,"Enter smelter details",IF(ISERROR($V52),"",OFFSET('Smelter Look-up'!$F$4,$V52-4,0)))</f>
        <v>RMI</v>
      </c>
      <c r="H52" s="218">
        <f ca="1">IF(ISERROR($V52),"",OFFSET('Smelter Look-up'!$G$4,$V52-4,0))</f>
        <v>0</v>
      </c>
      <c r="I52" s="219" t="str">
        <f ca="1">IF(ISERROR($V52),"",OFFSET('Smelter Look-up'!$H$4,$V52-4,0))</f>
        <v>Longtan Shiang Taoyuan</v>
      </c>
      <c r="J52" s="219" t="str">
        <f ca="1">IF(ISERROR($V52),"",OFFSET('Smelter Look-up'!$I$4,$V52-4,0))</f>
        <v>Taoyuan</v>
      </c>
      <c r="K52" s="273"/>
      <c r="L52" s="273"/>
      <c r="M52" s="273"/>
      <c r="N52" s="273"/>
      <c r="O52" s="273"/>
      <c r="P52" s="220"/>
      <c r="Q52" s="274"/>
      <c r="R52" s="217" t="str">
        <f ca="1">IF(ISERROR($V52),"",OFFSET('Smelter Look-up'!$C$4,$V52-4,0)&amp;"")</f>
        <v>Rui Da Hung</v>
      </c>
      <c r="S52" s="225" t="str">
        <f t="shared" ca="1" si="6"/>
        <v>TW</v>
      </c>
      <c r="T52" s="225" t="str">
        <f ca="1">IF(B52="","",IF(ISERROR(MATCH($J52,SorP!$B$1:$B$6230,0)),"",INDIRECT("'SorP'!$A$"&amp;MATCH($J52,SorP!$B$1:$B$6230,0))))</f>
        <v>TW-TAO</v>
      </c>
      <c r="U52" s="241"/>
      <c r="V52" s="275">
        <f ca="1">IF(C52="",NA(),MATCH($B52&amp;$C52,'Smelter Look-up'!$J:$J,0))</f>
        <v>450</v>
      </c>
      <c r="W52" s="276"/>
      <c r="X52" s="276">
        <f t="shared" ca="1" si="7"/>
        <v>0</v>
      </c>
      <c r="Y52" s="276"/>
      <c r="Z52" s="276"/>
      <c r="AB52" s="278" t="str">
        <f t="shared" ca="1" si="8"/>
        <v>TinRui Da Hung</v>
      </c>
    </row>
    <row r="53" spans="1:28" s="277" customFormat="1" ht="102">
      <c r="A53" s="347" t="s">
        <v>744</v>
      </c>
      <c r="B53" s="217" t="str">
        <f ca="1">IF(LEN(A53)=0,"",INDEX('Smelter Look-up'!$A:$A,MATCH($A53,'Smelter Look-up'!$E:$E,0)))</f>
        <v>Gold</v>
      </c>
      <c r="C53" s="221" t="str">
        <f ca="1">IF(LEN(A53)=0,"",INDEX('Smelter Look-up'!$C:$C,MATCH($A53,'Smelter Look-up'!$E:$E,0)))</f>
        <v>Shandong Zhaojin Gold &amp; Silver Refinery Co., Ltd.</v>
      </c>
      <c r="D53" s="348" t="s">
        <v>2265</v>
      </c>
      <c r="E53" s="217" t="str">
        <f ca="1">IF(ISERROR($V53),"",OFFSET('Smelter Look-up'!$D$4,$V53-4,0)&amp;"")</f>
        <v>CHINA</v>
      </c>
      <c r="F53" s="217" t="str">
        <f ca="1">IF(ISERROR($V53),"",OFFSET('Smelter Look-up'!$E$4,$V53-4,0))</f>
        <v>CID001622</v>
      </c>
      <c r="G53" s="217" t="str">
        <f ca="1">IF(C53=$X$4,"Enter smelter details",IF(ISERROR($V53),"",OFFSET('Smelter Look-up'!$F$4,$V53-4,0)))</f>
        <v>RMI</v>
      </c>
      <c r="H53" s="218">
        <f ca="1">IF(ISERROR($V53),"",OFFSET('Smelter Look-up'!$G$4,$V53-4,0))</f>
        <v>0</v>
      </c>
      <c r="I53" s="219" t="str">
        <f ca="1">IF(ISERROR($V53),"",OFFSET('Smelter Look-up'!$H$4,$V53-4,0))</f>
        <v>Zhaoyuan</v>
      </c>
      <c r="J53" s="219" t="str">
        <f ca="1">IF(ISERROR($V53),"",OFFSET('Smelter Look-up'!$I$4,$V53-4,0))</f>
        <v>Shandong Sheng</v>
      </c>
      <c r="K53" s="273"/>
      <c r="L53" s="273"/>
      <c r="M53" s="273"/>
      <c r="N53" s="273"/>
      <c r="O53" s="273"/>
      <c r="P53" s="220"/>
      <c r="Q53" s="274"/>
      <c r="R53" s="217" t="str">
        <f ca="1">IF(ISERROR($V53),"",OFFSET('Smelter Look-up'!$C$4,$V53-4,0)&amp;"")</f>
        <v>Shandong Zhaojin Gold &amp; Silver Refinery Co., Ltd.</v>
      </c>
      <c r="S53" s="225" t="str">
        <f t="shared" ca="1" si="6"/>
        <v>CN</v>
      </c>
      <c r="T53" s="225" t="str">
        <f ca="1">IF(B53="","",IF(ISERROR(MATCH($J53,SorP!$B$1:$B$6230,0)),"",INDIRECT("'SorP'!$A$"&amp;MATCH($J53,SorP!$B$1:$B$6230,0))))</f>
        <v>CN-SD</v>
      </c>
      <c r="U53" s="241"/>
      <c r="V53" s="275">
        <f ca="1">IF(C53="",NA(),MATCH($B53&amp;$C53,'Smelter Look-up'!$J:$J,0))</f>
        <v>223</v>
      </c>
      <c r="W53" s="276"/>
      <c r="X53" s="276">
        <f t="shared" ca="1" si="7"/>
        <v>0</v>
      </c>
      <c r="Y53" s="276"/>
      <c r="Z53" s="276"/>
      <c r="AB53" s="278" t="str">
        <f t="shared" ca="1" si="8"/>
        <v>GoldShandong Zhaojin Gold &amp; Silver Refinery Co., Ltd.</v>
      </c>
    </row>
    <row r="54" spans="1:28" s="277" customFormat="1" ht="63.75">
      <c r="A54" s="347" t="s">
        <v>748</v>
      </c>
      <c r="B54" s="217" t="str">
        <f ca="1">IF(LEN(A54)=0,"",INDEX('Smelter Look-up'!$A:$A,MATCH($A54,'Smelter Look-up'!$E:$E,0)))</f>
        <v>Gold</v>
      </c>
      <c r="C54" s="221" t="str">
        <f ca="1">IF(LEN(A54)=0,"",INDEX('Smelter Look-up'!$C:$C,MATCH($A54,'Smelter Look-up'!$E:$E,0)))</f>
        <v>Tanaka Kikinzoku Kogyo K.K.</v>
      </c>
      <c r="D54" s="348" t="s">
        <v>1256</v>
      </c>
      <c r="E54" s="217" t="str">
        <f ca="1">IF(ISERROR($V54),"",OFFSET('Smelter Look-up'!$D$4,$V54-4,0)&amp;"")</f>
        <v>JAPAN</v>
      </c>
      <c r="F54" s="217" t="str">
        <f ca="1">IF(ISERROR($V54),"",OFFSET('Smelter Look-up'!$E$4,$V54-4,0))</f>
        <v>CID001875</v>
      </c>
      <c r="G54" s="217" t="str">
        <f ca="1">IF(C54=$X$4,"Enter smelter details",IF(ISERROR($V54),"",OFFSET('Smelter Look-up'!$F$4,$V54-4,0)))</f>
        <v>RMI</v>
      </c>
      <c r="H54" s="218">
        <f ca="1">IF(ISERROR($V54),"",OFFSET('Smelter Look-up'!$G$4,$V54-4,0))</f>
        <v>0</v>
      </c>
      <c r="I54" s="219" t="str">
        <f ca="1">IF(ISERROR($V54),"",OFFSET('Smelter Look-up'!$H$4,$V54-4,0))</f>
        <v>Hiratsuka</v>
      </c>
      <c r="J54" s="219" t="str">
        <f ca="1">IF(ISERROR($V54),"",OFFSET('Smelter Look-up'!$I$4,$V54-4,0))</f>
        <v>Kanagawa</v>
      </c>
      <c r="K54" s="273"/>
      <c r="L54" s="273"/>
      <c r="M54" s="273"/>
      <c r="N54" s="273"/>
      <c r="O54" s="273"/>
      <c r="P54" s="220"/>
      <c r="Q54" s="274"/>
      <c r="R54" s="217" t="str">
        <f ca="1">IF(ISERROR($V54),"",OFFSET('Smelter Look-up'!$C$4,$V54-4,0)&amp;"")</f>
        <v>Tanaka Kikinzoku Kogyo K.K.</v>
      </c>
      <c r="S54" s="225" t="str">
        <f t="shared" ca="1" si="6"/>
        <v>JP</v>
      </c>
      <c r="T54" s="225" t="str">
        <f ca="1">IF(B54="","",IF(ISERROR(MATCH($J54,SorP!$B$1:$B$6230,0)),"",INDIRECT("'SorP'!$A$"&amp;MATCH($J54,SorP!$B$1:$B$6230,0))))</f>
        <v>JP-14</v>
      </c>
      <c r="U54" s="241"/>
      <c r="V54" s="275">
        <f ca="1">IF(C54="",NA(),MATCH($B54&amp;$C54,'Smelter Look-up'!$J:$J,0))</f>
        <v>252</v>
      </c>
      <c r="W54" s="276"/>
      <c r="X54" s="276">
        <f t="shared" ca="1" si="7"/>
        <v>0</v>
      </c>
      <c r="Y54" s="276"/>
      <c r="Z54" s="276"/>
      <c r="AB54" s="278" t="str">
        <f t="shared" ca="1" si="8"/>
        <v>GoldTanaka Kikinzoku Kogyo K.K.</v>
      </c>
    </row>
    <row r="55" spans="1:28" s="277" customFormat="1" ht="25.5">
      <c r="A55" s="347" t="s">
        <v>806</v>
      </c>
      <c r="B55" s="217" t="str">
        <f ca="1">IF(LEN(A55)=0,"",INDEX('Smelter Look-up'!$A:$A,MATCH($A55,'Smelter Look-up'!$E:$E,0)))</f>
        <v>Tin</v>
      </c>
      <c r="C55" s="221" t="str">
        <f ca="1">IF(LEN(A55)=0,"",INDEX('Smelter Look-up'!$C:$C,MATCH($A55,'Smelter Look-up'!$E:$E,0)))</f>
        <v>Thaisarco</v>
      </c>
      <c r="D55" s="348" t="s">
        <v>1054</v>
      </c>
      <c r="E55" s="217" t="str">
        <f ca="1">IF(ISERROR($V55),"",OFFSET('Smelter Look-up'!$D$4,$V55-4,0)&amp;"")</f>
        <v>THAILAND</v>
      </c>
      <c r="F55" s="217" t="str">
        <f ca="1">IF(ISERROR($V55),"",OFFSET('Smelter Look-up'!$E$4,$V55-4,0))</f>
        <v>CID001898</v>
      </c>
      <c r="G55" s="217" t="str">
        <f ca="1">IF(C55=$X$4,"Enter smelter details",IF(ISERROR($V55),"",OFFSET('Smelter Look-up'!$F$4,$V55-4,0)))</f>
        <v>RMI</v>
      </c>
      <c r="H55" s="218">
        <f ca="1">IF(ISERROR($V55),"",OFFSET('Smelter Look-up'!$G$4,$V55-4,0))</f>
        <v>0</v>
      </c>
      <c r="I55" s="219" t="str">
        <f ca="1">IF(ISERROR($V55),"",OFFSET('Smelter Look-up'!$H$4,$V55-4,0))</f>
        <v>Amphur Muang</v>
      </c>
      <c r="J55" s="219" t="str">
        <f ca="1">IF(ISERROR($V55),"",OFFSET('Smelter Look-up'!$I$4,$V55-4,0))</f>
        <v>Phuket</v>
      </c>
      <c r="K55" s="273"/>
      <c r="L55" s="273"/>
      <c r="M55" s="273"/>
      <c r="N55" s="273"/>
      <c r="O55" s="273"/>
      <c r="P55" s="220"/>
      <c r="Q55" s="274"/>
      <c r="R55" s="217" t="str">
        <f ca="1">IF(ISERROR($V55),"",OFFSET('Smelter Look-up'!$C$4,$V55-4,0)&amp;"")</f>
        <v>Thaisarco</v>
      </c>
      <c r="S55" s="225" t="str">
        <f t="shared" ca="1" si="6"/>
        <v>TH</v>
      </c>
      <c r="T55" s="225" t="str">
        <f ca="1">IF(B55="","",IF(ISERROR(MATCH($J55,SorP!$B$1:$B$6230,0)),"",INDIRECT("'SorP'!$A$"&amp;MATCH($J55,SorP!$B$1:$B$6230,0))))</f>
        <v>TH-83</v>
      </c>
      <c r="U55" s="241"/>
      <c r="V55" s="275">
        <f ca="1">IF(C55="",NA(),MATCH($B55&amp;$C55,'Smelter Look-up'!$J:$J,0))</f>
        <v>458</v>
      </c>
      <c r="W55" s="276"/>
      <c r="X55" s="276">
        <f t="shared" ca="1" si="7"/>
        <v>0</v>
      </c>
      <c r="Y55" s="276"/>
      <c r="Z55" s="276"/>
      <c r="AB55" s="278" t="str">
        <f t="shared" ca="1" si="8"/>
        <v>TinThaisarco</v>
      </c>
    </row>
    <row r="56" spans="1:28" s="277" customFormat="1" ht="51">
      <c r="A56" s="347" t="s">
        <v>754</v>
      </c>
      <c r="B56" s="217" t="str">
        <f ca="1">IF(LEN(A56)=0,"",INDEX('Smelter Look-up'!$A:$A,MATCH($A56,'Smelter Look-up'!$E:$E,0)))</f>
        <v>Gold</v>
      </c>
      <c r="C56" s="221" t="str">
        <f ca="1">IF(LEN(A56)=0,"",INDEX('Smelter Look-up'!$C:$C,MATCH($A56,'Smelter Look-up'!$E:$E,0)))</f>
        <v>Umicore Brasil Ltda.</v>
      </c>
      <c r="D56" s="348" t="s">
        <v>2270</v>
      </c>
      <c r="E56" s="217" t="str">
        <f ca="1">IF(ISERROR($V56),"",OFFSET('Smelter Look-up'!$D$4,$V56-4,0)&amp;"")</f>
        <v>BRAZIL</v>
      </c>
      <c r="F56" s="217" t="str">
        <f ca="1">IF(ISERROR($V56),"",OFFSET('Smelter Look-up'!$E$4,$V56-4,0))</f>
        <v>CID001977</v>
      </c>
      <c r="G56" s="217" t="str">
        <f ca="1">IF(C56=$X$4,"Enter smelter details",IF(ISERROR($V56),"",OFFSET('Smelter Look-up'!$F$4,$V56-4,0)))</f>
        <v>RMI</v>
      </c>
      <c r="H56" s="218">
        <f ca="1">IF(ISERROR($V56),"",OFFSET('Smelter Look-up'!$G$4,$V56-4,0))</f>
        <v>0</v>
      </c>
      <c r="I56" s="219" t="str">
        <f ca="1">IF(ISERROR($V56),"",OFFSET('Smelter Look-up'!$H$4,$V56-4,0))</f>
        <v>Guarulhos</v>
      </c>
      <c r="J56" s="219" t="str">
        <f ca="1">IF(ISERROR($V56),"",OFFSET('Smelter Look-up'!$I$4,$V56-4,0))</f>
        <v>São Paulo</v>
      </c>
      <c r="K56" s="273"/>
      <c r="L56" s="273"/>
      <c r="M56" s="273"/>
      <c r="N56" s="273"/>
      <c r="O56" s="273"/>
      <c r="P56" s="220"/>
      <c r="Q56" s="274"/>
      <c r="R56" s="217" t="str">
        <f ca="1">IF(ISERROR($V56),"",OFFSET('Smelter Look-up'!$C$4,$V56-4,0)&amp;"")</f>
        <v>Umicore Brasil Ltda.</v>
      </c>
      <c r="S56" s="225" t="str">
        <f t="shared" ca="1" si="6"/>
        <v>BR</v>
      </c>
      <c r="T56" s="225" t="str">
        <f ca="1">IF(B56="","",IF(ISERROR(MATCH($J56,SorP!$B$1:$B$6230,0)),"",INDIRECT("'SorP'!$A$"&amp;MATCH($J56,SorP!$B$1:$B$6230,0))))</f>
        <v>BR-SP</v>
      </c>
      <c r="U56" s="241"/>
      <c r="V56" s="275">
        <f ca="1">IF(C56="",NA(),MATCH($B56&amp;$C56,'Smelter Look-up'!$J:$J,0))</f>
        <v>264</v>
      </c>
      <c r="W56" s="276"/>
      <c r="X56" s="276">
        <f t="shared" ca="1" si="7"/>
        <v>0</v>
      </c>
      <c r="Y56" s="276"/>
      <c r="Z56" s="276"/>
      <c r="AB56" s="278" t="str">
        <f t="shared" ca="1" si="8"/>
        <v>GoldUmicore Brasil Ltda.</v>
      </c>
    </row>
    <row r="57" spans="1:28" s="277" customFormat="1" ht="102">
      <c r="A57" s="347" t="s">
        <v>755</v>
      </c>
      <c r="B57" s="217" t="str">
        <f ca="1">IF(LEN(A57)=0,"",INDEX('Smelter Look-up'!$A:$A,MATCH($A57,'Smelter Look-up'!$E:$E,0)))</f>
        <v>Gold</v>
      </c>
      <c r="C57" s="221" t="str">
        <f ca="1">IF(LEN(A57)=0,"",INDEX('Smelter Look-up'!$C:$C,MATCH($A57,'Smelter Look-up'!$E:$E,0)))</f>
        <v>Umicore S.A. Business Unit Precious Metals Refining</v>
      </c>
      <c r="D57" s="348" t="s">
        <v>2458</v>
      </c>
      <c r="E57" s="217" t="str">
        <f ca="1">IF(ISERROR($V57),"",OFFSET('Smelter Look-up'!$D$4,$V57-4,0)&amp;"")</f>
        <v>BELGIUM</v>
      </c>
      <c r="F57" s="217" t="str">
        <f ca="1">IF(ISERROR($V57),"",OFFSET('Smelter Look-up'!$E$4,$V57-4,0))</f>
        <v>CID001980</v>
      </c>
      <c r="G57" s="217" t="str">
        <f ca="1">IF(C57=$X$4,"Enter smelter details",IF(ISERROR($V57),"",OFFSET('Smelter Look-up'!$F$4,$V57-4,0)))</f>
        <v>RMI</v>
      </c>
      <c r="H57" s="218">
        <f ca="1">IF(ISERROR($V57),"",OFFSET('Smelter Look-up'!$G$4,$V57-4,0))</f>
        <v>0</v>
      </c>
      <c r="I57" s="219" t="str">
        <f ca="1">IF(ISERROR($V57),"",OFFSET('Smelter Look-up'!$H$4,$V57-4,0))</f>
        <v>Hoboken</v>
      </c>
      <c r="J57" s="219" t="str">
        <f ca="1">IF(ISERROR($V57),"",OFFSET('Smelter Look-up'!$I$4,$V57-4,0))</f>
        <v>Antwerpen</v>
      </c>
      <c r="K57" s="273"/>
      <c r="L57" s="273"/>
      <c r="M57" s="273"/>
      <c r="N57" s="273"/>
      <c r="O57" s="273"/>
      <c r="P57" s="220"/>
      <c r="Q57" s="274"/>
      <c r="R57" s="217" t="str">
        <f ca="1">IF(ISERROR($V57),"",OFFSET('Smelter Look-up'!$C$4,$V57-4,0)&amp;"")</f>
        <v>Umicore S.A. Business Unit Precious Metals Refining</v>
      </c>
      <c r="S57" s="225" t="str">
        <f t="shared" ca="1" si="6"/>
        <v>BE</v>
      </c>
      <c r="T57" s="225" t="str">
        <f ca="1">IF(B57="","",IF(ISERROR(MATCH($J57,SorP!$B$1:$B$6230,0)),"",INDIRECT("'SorP'!$A$"&amp;MATCH($J57,SorP!$B$1:$B$6230,0))))</f>
        <v>BE-VAN</v>
      </c>
      <c r="U57" s="241"/>
      <c r="V57" s="275">
        <f ca="1">IF(C57="",NA(),MATCH($B57&amp;$C57,'Smelter Look-up'!$J:$J,0))</f>
        <v>267</v>
      </c>
      <c r="W57" s="276"/>
      <c r="X57" s="276">
        <f t="shared" ca="1" si="7"/>
        <v>0</v>
      </c>
      <c r="Y57" s="276"/>
      <c r="Z57" s="276"/>
      <c r="AB57" s="278" t="str">
        <f t="shared" ca="1" si="8"/>
        <v>GoldUmicore S.A. Business Unit Precious Metals Refining</v>
      </c>
    </row>
    <row r="58" spans="1:28" s="277" customFormat="1" ht="76.5">
      <c r="A58" s="347" t="s">
        <v>756</v>
      </c>
      <c r="B58" s="217" t="str">
        <f ca="1">IF(LEN(A58)=0,"",INDEX('Smelter Look-up'!$A:$A,MATCH($A58,'Smelter Look-up'!$E:$E,0)))</f>
        <v>Gold</v>
      </c>
      <c r="C58" s="221" t="str">
        <f ca="1">IF(LEN(A58)=0,"",INDEX('Smelter Look-up'!$C:$C,MATCH($A58,'Smelter Look-up'!$E:$E,0)))</f>
        <v>United Precious Metal Refining, Inc.</v>
      </c>
      <c r="D58" s="348" t="s">
        <v>843</v>
      </c>
      <c r="E58" s="217" t="str">
        <f ca="1">IF(ISERROR($V58),"",OFFSET('Smelter Look-up'!$D$4,$V58-4,0)&amp;"")</f>
        <v>UNITED STATES OF AMERICA</v>
      </c>
      <c r="F58" s="217" t="str">
        <f ca="1">IF(ISERROR($V58),"",OFFSET('Smelter Look-up'!$E$4,$V58-4,0))</f>
        <v>CID001993</v>
      </c>
      <c r="G58" s="217" t="str">
        <f ca="1">IF(C58=$X$4,"Enter smelter details",IF(ISERROR($V58),"",OFFSET('Smelter Look-up'!$F$4,$V58-4,0)))</f>
        <v>RMI</v>
      </c>
      <c r="H58" s="218">
        <f ca="1">IF(ISERROR($V58),"",OFFSET('Smelter Look-up'!$G$4,$V58-4,0))</f>
        <v>0</v>
      </c>
      <c r="I58" s="219" t="str">
        <f ca="1">IF(ISERROR($V58),"",OFFSET('Smelter Look-up'!$H$4,$V58-4,0))</f>
        <v>Alden</v>
      </c>
      <c r="J58" s="219" t="str">
        <f ca="1">IF(ISERROR($V58),"",OFFSET('Smelter Look-up'!$I$4,$V58-4,0))</f>
        <v>New York</v>
      </c>
      <c r="K58" s="273"/>
      <c r="L58" s="273"/>
      <c r="M58" s="273"/>
      <c r="N58" s="273"/>
      <c r="O58" s="273"/>
      <c r="P58" s="220"/>
      <c r="Q58" s="274"/>
      <c r="R58" s="217" t="str">
        <f ca="1">IF(ISERROR($V58),"",OFFSET('Smelter Look-up'!$C$4,$V58-4,0)&amp;"")</f>
        <v>United Precious Metal Refining, Inc.</v>
      </c>
      <c r="S58" s="225" t="str">
        <f t="shared" ca="1" si="6"/>
        <v>US</v>
      </c>
      <c r="T58" s="225" t="str">
        <f ca="1">IF(B58="","",IF(ISERROR(MATCH($J58,SorP!$B$1:$B$6230,0)),"",INDIRECT("'SorP'!$A$"&amp;MATCH($J58,SorP!$B$1:$B$6230,0))))</f>
        <v>US-NY</v>
      </c>
      <c r="U58" s="241"/>
      <c r="V58" s="275">
        <f ca="1">IF(C58="",NA(),MATCH($B58&amp;$C58,'Smelter Look-up'!$J:$J,0))</f>
        <v>268</v>
      </c>
      <c r="W58" s="276"/>
      <c r="X58" s="276">
        <f t="shared" ca="1" si="7"/>
        <v>0</v>
      </c>
      <c r="Y58" s="276"/>
      <c r="Z58" s="276"/>
      <c r="AB58" s="278" t="str">
        <f t="shared" ca="1" si="8"/>
        <v>GoldUnited Precious Metal Refining, Inc.</v>
      </c>
    </row>
    <row r="59" spans="1:28" s="277" customFormat="1" ht="76.5">
      <c r="A59" s="347" t="s">
        <v>807</v>
      </c>
      <c r="B59" s="217" t="str">
        <f ca="1">IF(LEN(A59)=0,"",INDEX('Smelter Look-up'!$A:$A,MATCH($A59,'Smelter Look-up'!$E:$E,0)))</f>
        <v>Tin</v>
      </c>
      <c r="C59" s="221" t="str">
        <f ca="1">IF(LEN(A59)=0,"",INDEX('Smelter Look-up'!$C:$C,MATCH($A59,'Smelter Look-up'!$E:$E,0)))</f>
        <v>White Solder Metalurgia e Mineracao Ltda.</v>
      </c>
      <c r="D59" s="348" t="s">
        <v>2681</v>
      </c>
      <c r="E59" s="217" t="str">
        <f ca="1">IF(ISERROR($V59),"",OFFSET('Smelter Look-up'!$D$4,$V59-4,0)&amp;"")</f>
        <v>BRAZIL</v>
      </c>
      <c r="F59" s="217" t="str">
        <f ca="1">IF(ISERROR($V59),"",OFFSET('Smelter Look-up'!$E$4,$V59-4,0))</f>
        <v>CID002036</v>
      </c>
      <c r="G59" s="217" t="str">
        <f ca="1">IF(C59=$X$4,"Enter smelter details",IF(ISERROR($V59),"",OFFSET('Smelter Look-up'!$F$4,$V59-4,0)))</f>
        <v>RMI</v>
      </c>
      <c r="H59" s="218">
        <f ca="1">IF(ISERROR($V59),"",OFFSET('Smelter Look-up'!$G$4,$V59-4,0))</f>
        <v>0</v>
      </c>
      <c r="I59" s="219" t="str">
        <f ca="1">IF(ISERROR($V59),"",OFFSET('Smelter Look-up'!$H$4,$V59-4,0))</f>
        <v>Ariquemes</v>
      </c>
      <c r="J59" s="219" t="str">
        <f ca="1">IF(ISERROR($V59),"",OFFSET('Smelter Look-up'!$I$4,$V59-4,0))</f>
        <v>Rondônia</v>
      </c>
      <c r="K59" s="273"/>
      <c r="L59" s="273"/>
      <c r="M59" s="273"/>
      <c r="N59" s="273"/>
      <c r="O59" s="273"/>
      <c r="P59" s="220"/>
      <c r="Q59" s="274"/>
      <c r="R59" s="217" t="str">
        <f ca="1">IF(ISERROR($V59),"",OFFSET('Smelter Look-up'!$C$4,$V59-4,0)&amp;"")</f>
        <v>White Solder Metalurgia e Mineracao Ltda.</v>
      </c>
      <c r="S59" s="225" t="str">
        <f t="shared" ca="1" si="6"/>
        <v>BR</v>
      </c>
      <c r="T59" s="225" t="str">
        <f ca="1">IF(B59="","",IF(ISERROR(MATCH($J59,SorP!$B$1:$B$6230,0)),"",INDIRECT("'SorP'!$A$"&amp;MATCH($J59,SorP!$B$1:$B$6230,0))))</f>
        <v>BR-RO</v>
      </c>
      <c r="U59" s="241"/>
      <c r="V59" s="275">
        <f ca="1">IF(C59="",NA(),MATCH($B59&amp;$C59,'Smelter Look-up'!$J:$J,0))</f>
        <v>465</v>
      </c>
      <c r="W59" s="276"/>
      <c r="X59" s="276">
        <f t="shared" ca="1" si="7"/>
        <v>0</v>
      </c>
      <c r="Y59" s="276"/>
      <c r="Z59" s="276"/>
      <c r="AB59" s="278" t="str">
        <f t="shared" ca="1" si="8"/>
        <v>TinWhite Solder Metalurgia e Mineracao Ltda.</v>
      </c>
    </row>
    <row r="60" spans="1:28" s="277" customFormat="1" ht="102">
      <c r="A60" s="347" t="s">
        <v>808</v>
      </c>
      <c r="B60" s="217" t="str">
        <f ca="1">IF(LEN(A60)=0,"",INDEX('Smelter Look-up'!$A:$A,MATCH($A60,'Smelter Look-up'!$E:$E,0)))</f>
        <v>Tin</v>
      </c>
      <c r="C60" s="221" t="str">
        <f ca="1">IF(LEN(A60)=0,"",INDEX('Smelter Look-up'!$C:$C,MATCH($A60,'Smelter Look-up'!$E:$E,0)))</f>
        <v>Yunnan Chengfeng Non-ferrous Metals Co., Ltd.</v>
      </c>
      <c r="D60" s="348" t="s">
        <v>2273</v>
      </c>
      <c r="E60" s="217" t="str">
        <f ca="1">IF(ISERROR($V60),"",OFFSET('Smelter Look-up'!$D$4,$V60-4,0)&amp;"")</f>
        <v>CHINA</v>
      </c>
      <c r="F60" s="217" t="str">
        <f ca="1">IF(ISERROR($V60),"",OFFSET('Smelter Look-up'!$E$4,$V60-4,0))</f>
        <v>CID002158</v>
      </c>
      <c r="G60" s="217" t="str">
        <f ca="1">IF(C60=$X$4,"Enter smelter details",IF(ISERROR($V60),"",OFFSET('Smelter Look-up'!$F$4,$V60-4,0)))</f>
        <v>RMI</v>
      </c>
      <c r="H60" s="218">
        <f ca="1">IF(ISERROR($V60),"",OFFSET('Smelter Look-up'!$G$4,$V60-4,0))</f>
        <v>0</v>
      </c>
      <c r="I60" s="219" t="str">
        <f ca="1">IF(ISERROR($V60),"",OFFSET('Smelter Look-up'!$H$4,$V60-4,0))</f>
        <v>Gejiu</v>
      </c>
      <c r="J60" s="219" t="str">
        <f ca="1">IF(ISERROR($V60),"",OFFSET('Smelter Look-up'!$I$4,$V60-4,0))</f>
        <v>Yunnan Sheng</v>
      </c>
      <c r="K60" s="273"/>
      <c r="L60" s="273"/>
      <c r="M60" s="273"/>
      <c r="N60" s="273"/>
      <c r="O60" s="273"/>
      <c r="P60" s="220"/>
      <c r="Q60" s="274"/>
      <c r="R60" s="217" t="str">
        <f ca="1">IF(ISERROR($V60),"",OFFSET('Smelter Look-up'!$C$4,$V60-4,0)&amp;"")</f>
        <v>Yunnan Chengfeng Non-ferrous Metals Co., Ltd.</v>
      </c>
      <c r="S60" s="225" t="str">
        <f t="shared" ca="1" si="6"/>
        <v>CN</v>
      </c>
      <c r="T60" s="225" t="str">
        <f ca="1">IF(B60="","",IF(ISERROR(MATCH($J60,SorP!$B$1:$B$6230,0)),"",INDIRECT("'SorP'!$A$"&amp;MATCH($J60,SorP!$B$1:$B$6230,0))))</f>
        <v>CN-YN</v>
      </c>
      <c r="U60" s="241"/>
      <c r="V60" s="275">
        <f ca="1">IF(C60="",NA(),MATCH($B60&amp;$C60,'Smelter Look-up'!$J:$J,0))</f>
        <v>473</v>
      </c>
      <c r="W60" s="276"/>
      <c r="X60" s="276">
        <f t="shared" ca="1" si="7"/>
        <v>0</v>
      </c>
      <c r="Y60" s="276"/>
      <c r="Z60" s="276"/>
      <c r="AB60" s="278" t="str">
        <f t="shared" ca="1" si="8"/>
        <v>TinYunnan Chengfeng Non-ferrous Metals Co., Ltd.</v>
      </c>
    </row>
    <row r="61" spans="1:28" s="277" customFormat="1" ht="63.75">
      <c r="A61" s="347" t="s">
        <v>809</v>
      </c>
      <c r="B61" s="217" t="str">
        <f ca="1">IF(LEN(A61)=0,"",INDEX('Smelter Look-up'!$A:$A,MATCH($A61,'Smelter Look-up'!$E:$E,0)))</f>
        <v>Tin</v>
      </c>
      <c r="C61" s="221" t="str">
        <f ca="1">IF(LEN(A61)=0,"",INDEX('Smelter Look-up'!$C:$C,MATCH($A61,'Smelter Look-up'!$E:$E,0)))</f>
        <v>Yunnan Tin Company Limited</v>
      </c>
      <c r="D61" s="348" t="s">
        <v>2471</v>
      </c>
      <c r="E61" s="217" t="str">
        <f ca="1">IF(ISERROR($V61),"",OFFSET('Smelter Look-up'!$D$4,$V61-4,0)&amp;"")</f>
        <v>CHINA</v>
      </c>
      <c r="F61" s="217" t="str">
        <f ca="1">IF(ISERROR($V61),"",OFFSET('Smelter Look-up'!$E$4,$V61-4,0))</f>
        <v>CID002180</v>
      </c>
      <c r="G61" s="217" t="str">
        <f ca="1">IF(C61=$X$4,"Enter smelter details",IF(ISERROR($V61),"",OFFSET('Smelter Look-up'!$F$4,$V61-4,0)))</f>
        <v>RMI</v>
      </c>
      <c r="H61" s="218">
        <f ca="1">IF(ISERROR($V61),"",OFFSET('Smelter Look-up'!$G$4,$V61-4,0))</f>
        <v>0</v>
      </c>
      <c r="I61" s="219" t="str">
        <f ca="1">IF(ISERROR($V61),"",OFFSET('Smelter Look-up'!$H$4,$V61-4,0))</f>
        <v>Gejiu</v>
      </c>
      <c r="J61" s="219" t="str">
        <f ca="1">IF(ISERROR($V61),"",OFFSET('Smelter Look-up'!$I$4,$V61-4,0))</f>
        <v>Yunnan Sheng</v>
      </c>
      <c r="K61" s="273"/>
      <c r="L61" s="273"/>
      <c r="M61" s="273"/>
      <c r="N61" s="273"/>
      <c r="O61" s="273"/>
      <c r="P61" s="220"/>
      <c r="Q61" s="274"/>
      <c r="R61" s="217" t="str">
        <f ca="1">IF(ISERROR($V61),"",OFFSET('Smelter Look-up'!$C$4,$V61-4,0)&amp;"")</f>
        <v>Yunnan Tin Company Limited</v>
      </c>
      <c r="S61" s="225" t="str">
        <f t="shared" ca="1" si="6"/>
        <v>CN</v>
      </c>
      <c r="T61" s="225" t="str">
        <f ca="1">IF(B61="","",IF(ISERROR(MATCH($J61,SorP!$B$1:$B$6230,0)),"",INDIRECT("'SorP'!$A$"&amp;MATCH($J61,SorP!$B$1:$B$6230,0))))</f>
        <v>CN-YN</v>
      </c>
      <c r="U61" s="241"/>
      <c r="V61" s="275">
        <f ca="1">IF(C61="",NA(),MATCH($B61&amp;$C61,'Smelter Look-up'!$J:$J,0))</f>
        <v>477</v>
      </c>
      <c r="W61" s="276"/>
      <c r="X61" s="276">
        <f t="shared" ca="1" si="7"/>
        <v>0</v>
      </c>
      <c r="Y61" s="276"/>
      <c r="Z61" s="276"/>
      <c r="AB61" s="278" t="str">
        <f t="shared" ca="1" si="8"/>
        <v>TinYunnan Tin Company Limited</v>
      </c>
    </row>
    <row r="62" spans="1:28" s="277" customFormat="1" ht="63.75">
      <c r="A62" s="347" t="s">
        <v>1427</v>
      </c>
      <c r="B62" s="217" t="str">
        <f ca="1">IF(LEN(A62)=0,"",INDEX('Smelter Look-up'!$A:$A,MATCH($A62,'Smelter Look-up'!$E:$E,0)))</f>
        <v>Tin</v>
      </c>
      <c r="C62" s="221" t="str">
        <f ca="1">IF(LEN(A62)=0,"",INDEX('Smelter Look-up'!$C:$C,MATCH($A62,'Smelter Look-up'!$E:$E,0)))</f>
        <v>PT ATD Makmur Mandiri Jaya</v>
      </c>
      <c r="D62" s="348" t="s">
        <v>1426</v>
      </c>
      <c r="E62" s="217" t="str">
        <f ca="1">IF(ISERROR($V62),"",OFFSET('Smelter Look-up'!$D$4,$V62-4,0)&amp;"")</f>
        <v>INDONESIA</v>
      </c>
      <c r="F62" s="217" t="str">
        <f ca="1">IF(ISERROR($V62),"",OFFSET('Smelter Look-up'!$E$4,$V62-4,0))</f>
        <v>CID002503</v>
      </c>
      <c r="G62" s="217" t="str">
        <f ca="1">IF(C62=$X$4,"Enter smelter details",IF(ISERROR($V62),"",OFFSET('Smelter Look-up'!$F$4,$V62-4,0)))</f>
        <v>RMI</v>
      </c>
      <c r="H62" s="218">
        <f ca="1">IF(ISERROR($V62),"",OFFSET('Smelter Look-up'!$G$4,$V62-4,0))</f>
        <v>0</v>
      </c>
      <c r="I62" s="219" t="str">
        <f ca="1">IF(ISERROR($V62),"",OFFSET('Smelter Look-up'!$H$4,$V62-4,0))</f>
        <v>Sungailiat</v>
      </c>
      <c r="J62" s="219" t="str">
        <f ca="1">IF(ISERROR($V62),"",OFFSET('Smelter Look-up'!$I$4,$V62-4,0))</f>
        <v>Kepulauan Bangka Belitung</v>
      </c>
      <c r="K62" s="273"/>
      <c r="L62" s="273"/>
      <c r="M62" s="273"/>
      <c r="N62" s="273"/>
      <c r="O62" s="273"/>
      <c r="P62" s="220"/>
      <c r="Q62" s="274"/>
      <c r="R62" s="217" t="str">
        <f ca="1">IF(ISERROR($V62),"",OFFSET('Smelter Look-up'!$C$4,$V62-4,0)&amp;"")</f>
        <v>PT ATD Makmur Mandiri Jaya</v>
      </c>
      <c r="S62" s="225" t="str">
        <f t="shared" ca="1" si="6"/>
        <v>ID</v>
      </c>
      <c r="T62" s="225" t="str">
        <f ca="1">IF(B62="","",IF(ISERROR(MATCH($J62,SorP!$B$1:$B$6230,0)),"",INDIRECT("'SorP'!$A$"&amp;MATCH($J62,SorP!$B$1:$B$6230,0))))</f>
        <v>ID-BB</v>
      </c>
      <c r="U62" s="241"/>
      <c r="V62" s="275">
        <f ca="1">IF(C62="",NA(),MATCH($B62&amp;$C62,'Smelter Look-up'!$J:$J,0))</f>
        <v>439</v>
      </c>
      <c r="W62" s="276"/>
      <c r="X62" s="276">
        <f t="shared" ca="1" si="7"/>
        <v>0</v>
      </c>
      <c r="Y62" s="276"/>
      <c r="Z62" s="276"/>
      <c r="AB62" s="278" t="str">
        <f t="shared" ca="1" si="8"/>
        <v>TinPT ATD Makmur Mandiri Jaya</v>
      </c>
    </row>
    <row r="63" spans="1:28" s="277" customFormat="1" ht="63.75">
      <c r="A63" s="347" t="s">
        <v>1439</v>
      </c>
      <c r="B63" s="217" t="str">
        <f ca="1">IF(LEN(A63)=0,"",INDEX('Smelter Look-up'!$A:$A,MATCH($A63,'Smelter Look-up'!$E:$E,0)))</f>
        <v>Tantalum</v>
      </c>
      <c r="C63" s="221" t="str">
        <f ca="1">IF(LEN(A63)=0,"",INDEX('Smelter Look-up'!$C:$C,MATCH($A63,'Smelter Look-up'!$E:$E,0)))</f>
        <v>H.C. Starck Co., Ltd.</v>
      </c>
      <c r="D63" s="348" t="s">
        <v>1438</v>
      </c>
      <c r="E63" s="217" t="str">
        <f ca="1">IF(ISERROR($V63),"",OFFSET('Smelter Look-up'!$D$4,$V63-4,0)&amp;"")</f>
        <v>THAILAND</v>
      </c>
      <c r="F63" s="217" t="str">
        <f ca="1">IF(ISERROR($V63),"",OFFSET('Smelter Look-up'!$E$4,$V63-4,0))</f>
        <v>CID002544</v>
      </c>
      <c r="G63" s="217" t="str">
        <f ca="1">IF(C63=$X$4,"Enter smelter details",IF(ISERROR($V63),"",OFFSET('Smelter Look-up'!$F$4,$V63-4,0)))</f>
        <v>RMI</v>
      </c>
      <c r="H63" s="218">
        <f ca="1">IF(ISERROR($V63),"",OFFSET('Smelter Look-up'!$G$4,$V63-4,0))</f>
        <v>0</v>
      </c>
      <c r="I63" s="219" t="str">
        <f ca="1">IF(ISERROR($V63),"",OFFSET('Smelter Look-up'!$H$4,$V63-4,0))</f>
        <v>Map Ta Phut</v>
      </c>
      <c r="J63" s="219" t="str">
        <f ca="1">IF(ISERROR($V63),"",OFFSET('Smelter Look-up'!$I$4,$V63-4,0))</f>
        <v>Rayong</v>
      </c>
      <c r="K63" s="273"/>
      <c r="L63" s="273"/>
      <c r="M63" s="273"/>
      <c r="N63" s="273"/>
      <c r="O63" s="273"/>
      <c r="P63" s="220"/>
      <c r="Q63" s="274"/>
      <c r="R63" s="217" t="str">
        <f ca="1">IF(ISERROR($V63),"",OFFSET('Smelter Look-up'!$C$4,$V63-4,0)&amp;"")</f>
        <v>H.C. Starck Co., Ltd.</v>
      </c>
      <c r="S63" s="225" t="str">
        <f t="shared" ca="1" si="6"/>
        <v>TH</v>
      </c>
      <c r="T63" s="225" t="str">
        <f ca="1">IF(B63="","",IF(ISERROR(MATCH($J63,SorP!$B$1:$B$6230,0)),"",INDIRECT("'SorP'!$A$"&amp;MATCH($J63,SorP!$B$1:$B$6230,0))))</f>
        <v>TH-21</v>
      </c>
      <c r="U63" s="241"/>
      <c r="V63" s="275">
        <f ca="1">IF(C63="",NA(),MATCH($B63&amp;$C63,'Smelter Look-up'!$J:$J,0))</f>
        <v>307</v>
      </c>
      <c r="W63" s="276"/>
      <c r="X63" s="276">
        <f t="shared" ca="1" si="7"/>
        <v>0</v>
      </c>
      <c r="Y63" s="276"/>
      <c r="Z63" s="276"/>
      <c r="AB63" s="278" t="str">
        <f t="shared" ca="1" si="8"/>
        <v>TantalumH.C. Starck Co., Ltd.</v>
      </c>
    </row>
    <row r="64" spans="1:28" s="277" customFormat="1" ht="51">
      <c r="A64" s="347" t="s">
        <v>1856</v>
      </c>
      <c r="B64" s="217" t="str">
        <f ca="1">IF(LEN(A64)=0,"",INDEX('Smelter Look-up'!$A:$A,MATCH($A64,'Smelter Look-up'!$E:$E,0)))</f>
        <v>Tin</v>
      </c>
      <c r="C64" s="221" t="str">
        <f ca="1">IF(LEN(A64)=0,"",INDEX('Smelter Look-up'!$C:$C,MATCH($A64,'Smelter Look-up'!$E:$E,0)))</f>
        <v>Metallo Belgium N.V.</v>
      </c>
      <c r="D64" s="348" t="s">
        <v>13267</v>
      </c>
      <c r="E64" s="217" t="str">
        <f ca="1">IF(ISERROR($V64),"",OFFSET('Smelter Look-up'!$D$4,$V64-4,0)&amp;"")</f>
        <v>BELGIUM</v>
      </c>
      <c r="F64" s="217" t="str">
        <f ca="1">IF(ISERROR($V64),"",OFFSET('Smelter Look-up'!$E$4,$V64-4,0))</f>
        <v>CID002773</v>
      </c>
      <c r="G64" s="217" t="str">
        <f ca="1">IF(C64=$X$4,"Enter smelter details",IF(ISERROR($V64),"",OFFSET('Smelter Look-up'!$F$4,$V64-4,0)))</f>
        <v>RMI</v>
      </c>
      <c r="H64" s="218">
        <f ca="1">IF(ISERROR($V64),"",OFFSET('Smelter Look-up'!$G$4,$V64-4,0))</f>
        <v>0</v>
      </c>
      <c r="I64" s="219" t="str">
        <f ca="1">IF(ISERROR($V64),"",OFFSET('Smelter Look-up'!$H$4,$V64-4,0))</f>
        <v>Beerse</v>
      </c>
      <c r="J64" s="219" t="str">
        <f ca="1">IF(ISERROR($V64),"",OFFSET('Smelter Look-up'!$I$4,$V64-4,0))</f>
        <v>Antwerpen</v>
      </c>
      <c r="K64" s="273"/>
      <c r="L64" s="273"/>
      <c r="M64" s="273"/>
      <c r="N64" s="273"/>
      <c r="O64" s="273"/>
      <c r="P64" s="220"/>
      <c r="Q64" s="274"/>
      <c r="R64" s="217" t="str">
        <f ca="1">IF(ISERROR($V64),"",OFFSET('Smelter Look-up'!$C$4,$V64-4,0)&amp;"")</f>
        <v>Metallo Belgium N.V.</v>
      </c>
      <c r="S64" s="225" t="str">
        <f t="shared" ca="1" si="6"/>
        <v>BE</v>
      </c>
      <c r="T64" s="225" t="str">
        <f ca="1">IF(B64="","",IF(ISERROR(MATCH($J64,SorP!$B$1:$B$6230,0)),"",INDIRECT("'SorP'!$A$"&amp;MATCH($J64,SorP!$B$1:$B$6230,0))))</f>
        <v>BE-VAN</v>
      </c>
      <c r="U64" s="241"/>
      <c r="V64" s="275">
        <f ca="1">IF(C64="",NA(),MATCH($B64&amp;$C64,'Smelter Look-up'!$J:$J,0))</f>
        <v>419</v>
      </c>
      <c r="W64" s="276"/>
      <c r="X64" s="276">
        <f t="shared" ca="1" si="7"/>
        <v>0</v>
      </c>
      <c r="Y64" s="276"/>
      <c r="Z64" s="276"/>
      <c r="AB64" s="278" t="str">
        <f t="shared" ca="1" si="8"/>
        <v>TinMetallo Belgium N.V.</v>
      </c>
    </row>
    <row r="65" spans="1:28" s="277" customFormat="1" ht="38.25">
      <c r="A65" s="347" t="s">
        <v>1858</v>
      </c>
      <c r="B65" s="217" t="str">
        <f ca="1">IF(LEN(A65)=0,"",INDEX('Smelter Look-up'!$A:$A,MATCH($A65,'Smelter Look-up'!$E:$E,0)))</f>
        <v>Tin</v>
      </c>
      <c r="C65" s="221" t="str">
        <f ca="1">IF(LEN(A65)=0,"",INDEX('Smelter Look-up'!$C:$C,MATCH($A65,'Smelter Look-up'!$E:$E,0)))</f>
        <v>Metallo Spain S.L.U.</v>
      </c>
      <c r="D65" s="348" t="s">
        <v>13268</v>
      </c>
      <c r="E65" s="217" t="str">
        <f ca="1">IF(ISERROR($V65),"",OFFSET('Smelter Look-up'!$D$4,$V65-4,0)&amp;"")</f>
        <v>SPAIN</v>
      </c>
      <c r="F65" s="217" t="str">
        <f ca="1">IF(ISERROR($V65),"",OFFSET('Smelter Look-up'!$E$4,$V65-4,0))</f>
        <v>CID002774</v>
      </c>
      <c r="G65" s="217" t="str">
        <f ca="1">IF(C65=$X$4,"Enter smelter details",IF(ISERROR($V65),"",OFFSET('Smelter Look-up'!$F$4,$V65-4,0)))</f>
        <v>RMI</v>
      </c>
      <c r="H65" s="218">
        <f ca="1">IF(ISERROR($V65),"",OFFSET('Smelter Look-up'!$G$4,$V65-4,0))</f>
        <v>0</v>
      </c>
      <c r="I65" s="219" t="str">
        <f ca="1">IF(ISERROR($V65),"",OFFSET('Smelter Look-up'!$H$4,$V65-4,0))</f>
        <v>Berango</v>
      </c>
      <c r="J65" s="219" t="str">
        <f ca="1">IF(ISERROR($V65),"",OFFSET('Smelter Look-up'!$I$4,$V65-4,0))</f>
        <v>Bizkaia</v>
      </c>
      <c r="K65" s="273"/>
      <c r="L65" s="273"/>
      <c r="M65" s="273"/>
      <c r="N65" s="273"/>
      <c r="O65" s="273"/>
      <c r="P65" s="220"/>
      <c r="Q65" s="274"/>
      <c r="R65" s="217" t="str">
        <f ca="1">IF(ISERROR($V65),"",OFFSET('Smelter Look-up'!$C$4,$V65-4,0)&amp;"")</f>
        <v>Metallo Spain S.L.U.</v>
      </c>
      <c r="S65" s="225" t="str">
        <f t="shared" ca="1" si="6"/>
        <v>ES</v>
      </c>
      <c r="T65" s="225" t="str">
        <f ca="1">IF(B65="","",IF(ISERROR(MATCH($J65,SorP!$B$1:$B$6230,0)),"",INDIRECT("'SorP'!$A$"&amp;MATCH($J65,SorP!$B$1:$B$6230,0))))</f>
        <v>ES-BI</v>
      </c>
      <c r="U65" s="241"/>
      <c r="V65" s="275">
        <f ca="1">IF(C65="",NA(),MATCH($B65&amp;$C65,'Smelter Look-up'!$J:$J,0))</f>
        <v>420</v>
      </c>
      <c r="W65" s="276"/>
      <c r="X65" s="276">
        <f t="shared" ca="1" si="7"/>
        <v>0</v>
      </c>
      <c r="Y65" s="276"/>
      <c r="Z65" s="276"/>
      <c r="AB65" s="278" t="str">
        <f t="shared" ca="1" si="8"/>
        <v>TinMetallo Spain S.L.U.</v>
      </c>
    </row>
    <row r="66" spans="1:28" s="277" customFormat="1" ht="20.25" customHeight="1">
      <c r="A66" s="347" t="s">
        <v>15525</v>
      </c>
      <c r="B66" s="217" t="s">
        <v>1154</v>
      </c>
      <c r="C66" s="221" t="s">
        <v>1898</v>
      </c>
      <c r="D66" s="348" t="s">
        <v>15526</v>
      </c>
      <c r="E66" s="217" t="s">
        <v>1128</v>
      </c>
      <c r="F66" s="217" t="s">
        <v>15525</v>
      </c>
      <c r="G66" s="217" t="s">
        <v>13577</v>
      </c>
      <c r="H66" s="218">
        <f ca="1">IF(ISERROR($V66),"",OFFSET('Smelter Look-up'!$G$4,$V66-4,0))</f>
        <v>0</v>
      </c>
      <c r="I66" s="219" t="s">
        <v>15527</v>
      </c>
      <c r="J66" s="219" t="s">
        <v>13183</v>
      </c>
      <c r="K66" s="273"/>
      <c r="L66" s="273"/>
      <c r="M66" s="273"/>
      <c r="N66" s="273"/>
      <c r="O66" s="273"/>
      <c r="P66" s="220"/>
      <c r="Q66" s="274"/>
      <c r="R66" s="217" t="str">
        <f ca="1">IF(ISERROR($V66),"",OFFSET('Smelter Look-up'!$C$4,$V66-4,0)&amp;"")</f>
        <v/>
      </c>
      <c r="S66" s="225" t="str">
        <f t="shared" ca="1" si="6"/>
        <v>ID</v>
      </c>
      <c r="T66" s="225" t="str">
        <f ca="1">IF(B66="","",IF(ISERROR(MATCH($J66,SorP!$B$1:$B$6230,0)),"",INDIRECT("'SorP'!$A$"&amp;MATCH($J66,SorP!$B$1:$B$6230,0))))</f>
        <v>ID-BB</v>
      </c>
      <c r="U66" s="241"/>
      <c r="V66" s="275">
        <f>IF(C66="",NA(),MATCH($B66&amp;$C66,'Smelter Look-up'!$J:$J,0))</f>
        <v>484</v>
      </c>
      <c r="W66" s="276"/>
      <c r="X66" s="276">
        <f t="shared" si="7"/>
        <v>0</v>
      </c>
      <c r="Y66" s="276"/>
      <c r="Z66" s="276"/>
      <c r="AB66" s="278" t="str">
        <f t="shared" si="8"/>
        <v>TinSmelter not listed</v>
      </c>
    </row>
    <row r="67" spans="1:28" s="277" customFormat="1" ht="102">
      <c r="A67" s="347" t="s">
        <v>2678</v>
      </c>
      <c r="B67" s="217" t="str">
        <f ca="1">IF(LEN(A67)=0,"",INDEX('Smelter Look-up'!$A:$A,MATCH($A67,'Smelter Look-up'!$E:$E,0)))</f>
        <v>Tin</v>
      </c>
      <c r="C67" s="221" t="str">
        <f ca="1">IF(LEN(A67)=0,"",INDEX('Smelter Look-up'!$C:$C,MATCH($A67,'Smelter Look-up'!$E:$E,0)))</f>
        <v>Guangdong Hanhe Non-Ferrous Metal Co., Ltd.</v>
      </c>
      <c r="D67" s="348" t="s">
        <v>2677</v>
      </c>
      <c r="E67" s="217" t="str">
        <f ca="1">IF(ISERROR($V67),"",OFFSET('Smelter Look-up'!$D$4,$V67-4,0)&amp;"")</f>
        <v>CHINA</v>
      </c>
      <c r="F67" s="217" t="str">
        <f ca="1">IF(ISERROR($V67),"",OFFSET('Smelter Look-up'!$E$4,$V67-4,0))</f>
        <v>CID003116</v>
      </c>
      <c r="G67" s="217" t="str">
        <f ca="1">IF(C67=$X$4,"Enter smelter details",IF(ISERROR($V67),"",OFFSET('Smelter Look-up'!$F$4,$V67-4,0)))</f>
        <v>RMI</v>
      </c>
      <c r="H67" s="218">
        <f ca="1">IF(ISERROR($V67),"",OFFSET('Smelter Look-up'!$G$4,$V67-4,0))</f>
        <v>0</v>
      </c>
      <c r="I67" s="219" t="str">
        <f ca="1">IF(ISERROR($V67),"",OFFSET('Smelter Look-up'!$H$4,$V67-4,0))</f>
        <v>Chaozhou</v>
      </c>
      <c r="J67" s="219" t="str">
        <f ca="1">IF(ISERROR($V67),"",OFFSET('Smelter Look-up'!$I$4,$V67-4,0))</f>
        <v>Guangdong Sheng</v>
      </c>
      <c r="K67" s="273"/>
      <c r="L67" s="273"/>
      <c r="M67" s="273"/>
      <c r="N67" s="273"/>
      <c r="O67" s="273"/>
      <c r="P67" s="220"/>
      <c r="Q67" s="274"/>
      <c r="R67" s="217" t="str">
        <f ca="1">IF(ISERROR($V67),"",OFFSET('Smelter Look-up'!$C$4,$V67-4,0)&amp;"")</f>
        <v>Guangdong Hanhe Non-Ferrous Metal Co., Ltd.</v>
      </c>
      <c r="S67" s="225" t="str">
        <f t="shared" ca="1" si="6"/>
        <v>CN</v>
      </c>
      <c r="T67" s="225" t="str">
        <f ca="1">IF(B67="","",IF(ISERROR(MATCH($J67,SorP!$B$1:$B$6230,0)),"",INDIRECT("'SorP'!$A$"&amp;MATCH($J67,SorP!$B$1:$B$6230,0))))</f>
        <v>CN-GD</v>
      </c>
      <c r="U67" s="241"/>
      <c r="V67" s="275">
        <f ca="1">IF(C67="",NA(),MATCH($B67&amp;$C67,'Smelter Look-up'!$J:$J,0))</f>
        <v>395</v>
      </c>
      <c r="W67" s="276"/>
      <c r="X67" s="276">
        <f t="shared" ca="1" si="7"/>
        <v>0</v>
      </c>
      <c r="Y67" s="276"/>
      <c r="Z67" s="276"/>
      <c r="AB67" s="278" t="str">
        <f t="shared" ca="1" si="8"/>
        <v>TinGuangdong Hanhe Non-Ferrous Metal Co., Ltd.</v>
      </c>
    </row>
    <row r="68" spans="1:28" s="277" customFormat="1" ht="20.25">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6"/>
        <v/>
      </c>
      <c r="T68" s="225" t="str">
        <f ca="1">IF(B68="","",IF(ISERROR(MATCH($J68,SorP!$B$1:$B$6230,0)),"",INDIRECT("'SorP'!$A$"&amp;MATCH($J68,SorP!$B$1:$B$6230,0))))</f>
        <v/>
      </c>
      <c r="U68" s="241"/>
      <c r="V68" s="275" t="e">
        <f>IF(C68="",NA(),MATCH($B68&amp;$C68,'Smelter Look-up'!$J:$J,0))</f>
        <v>#N/A</v>
      </c>
      <c r="W68" s="276"/>
      <c r="X68" s="276">
        <f t="shared" ca="1" si="7"/>
        <v>0</v>
      </c>
      <c r="Y68" s="276"/>
      <c r="Z68" s="276"/>
      <c r="AB68" s="278" t="str">
        <f t="shared" si="8"/>
        <v/>
      </c>
    </row>
    <row r="69" spans="1:28" s="277" customFormat="1" ht="20.25">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9">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10">IF(AND(C69="Smelter not listed",OR(LEN(D69)=0,LEN(E69)=0)),1,0)</f>
        <v>0</v>
      </c>
      <c r="Y69" s="276"/>
      <c r="Z69" s="276"/>
      <c r="AB69" s="278" t="str">
        <f t="shared" ref="AB69" si="11">B69&amp;C69</f>
        <v/>
      </c>
    </row>
    <row r="70" spans="1:28" s="277" customFormat="1" ht="20.25">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12">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13">IF(AND(C70="Smelter not listed",OR(LEN(D70)=0,LEN(E70)=0)),1,0)</f>
        <v>0</v>
      </c>
      <c r="Y70" s="276"/>
      <c r="Z70" s="276"/>
      <c r="AB70" s="278" t="str">
        <f t="shared" ref="AB70:AB101" si="14">B70&amp;C70</f>
        <v/>
      </c>
    </row>
    <row r="71" spans="1:28" s="277" customFormat="1" ht="20.25">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12"/>
        <v/>
      </c>
      <c r="T71" s="225" t="str">
        <f ca="1">IF(B71="","",IF(ISERROR(MATCH($J71,SorP!$B$1:$B$6230,0)),"",INDIRECT("'SorP'!$A$"&amp;MATCH($J71,SorP!$B$1:$B$6230,0))))</f>
        <v/>
      </c>
      <c r="U71" s="241"/>
      <c r="V71" s="275" t="e">
        <f>IF(C71="",NA(),MATCH($B71&amp;$C71,'Smelter Look-up'!$J:$J,0))</f>
        <v>#N/A</v>
      </c>
      <c r="W71" s="276"/>
      <c r="X71" s="276">
        <f t="shared" ca="1" si="13"/>
        <v>0</v>
      </c>
      <c r="Y71" s="276"/>
      <c r="Z71" s="276"/>
      <c r="AB71" s="278" t="str">
        <f t="shared" si="14"/>
        <v/>
      </c>
    </row>
    <row r="72" spans="1:28" s="277" customFormat="1" ht="20.25">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12"/>
        <v/>
      </c>
      <c r="T72" s="225" t="str">
        <f ca="1">IF(B72="","",IF(ISERROR(MATCH($J72,SorP!$B$1:$B$6230,0)),"",INDIRECT("'SorP'!$A$"&amp;MATCH($J72,SorP!$B$1:$B$6230,0))))</f>
        <v/>
      </c>
      <c r="U72" s="241"/>
      <c r="V72" s="275" t="e">
        <f>IF(C72="",NA(),MATCH($B72&amp;$C72,'Smelter Look-up'!$J:$J,0))</f>
        <v>#N/A</v>
      </c>
      <c r="W72" s="276"/>
      <c r="X72" s="276">
        <f t="shared" ca="1" si="13"/>
        <v>0</v>
      </c>
      <c r="Y72" s="276"/>
      <c r="Z72" s="276"/>
      <c r="AB72" s="278" t="str">
        <f t="shared" si="14"/>
        <v/>
      </c>
    </row>
    <row r="73" spans="1:28" s="277" customFormat="1" ht="20.25">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12"/>
        <v/>
      </c>
      <c r="T73" s="225" t="str">
        <f ca="1">IF(B73="","",IF(ISERROR(MATCH($J73,SorP!$B$1:$B$6230,0)),"",INDIRECT("'SorP'!$A$"&amp;MATCH($J73,SorP!$B$1:$B$6230,0))))</f>
        <v/>
      </c>
      <c r="U73" s="241"/>
      <c r="V73" s="275" t="e">
        <f>IF(C73="",NA(),MATCH($B73&amp;$C73,'Smelter Look-up'!$J:$J,0))</f>
        <v>#N/A</v>
      </c>
      <c r="W73" s="276"/>
      <c r="X73" s="276">
        <f t="shared" ca="1" si="13"/>
        <v>0</v>
      </c>
      <c r="Y73" s="276"/>
      <c r="Z73" s="276"/>
      <c r="AB73" s="278" t="str">
        <f t="shared" si="14"/>
        <v/>
      </c>
    </row>
    <row r="74" spans="1:28" s="277" customFormat="1" ht="20.25">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12"/>
        <v/>
      </c>
      <c r="T74" s="225" t="str">
        <f ca="1">IF(B74="","",IF(ISERROR(MATCH($J74,SorP!$B$1:$B$6230,0)),"",INDIRECT("'SorP'!$A$"&amp;MATCH($J74,SorP!$B$1:$B$6230,0))))</f>
        <v/>
      </c>
      <c r="U74" s="241"/>
      <c r="V74" s="275" t="e">
        <f>IF(C74="",NA(),MATCH($B74&amp;$C74,'Smelter Look-up'!$J:$J,0))</f>
        <v>#N/A</v>
      </c>
      <c r="W74" s="276"/>
      <c r="X74" s="276">
        <f t="shared" ca="1" si="13"/>
        <v>0</v>
      </c>
      <c r="Y74" s="276"/>
      <c r="Z74" s="276"/>
      <c r="AB74" s="278" t="str">
        <f t="shared" si="14"/>
        <v/>
      </c>
    </row>
    <row r="75" spans="1:28" s="277" customFormat="1" ht="20.25">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12"/>
        <v/>
      </c>
      <c r="T75" s="225" t="str">
        <f ca="1">IF(B75="","",IF(ISERROR(MATCH($J75,SorP!$B$1:$B$6230,0)),"",INDIRECT("'SorP'!$A$"&amp;MATCH($J75,SorP!$B$1:$B$6230,0))))</f>
        <v/>
      </c>
      <c r="U75" s="241"/>
      <c r="V75" s="275" t="e">
        <f>IF(C75="",NA(),MATCH($B75&amp;$C75,'Smelter Look-up'!$J:$J,0))</f>
        <v>#N/A</v>
      </c>
      <c r="W75" s="276"/>
      <c r="X75" s="276">
        <f t="shared" ca="1" si="13"/>
        <v>0</v>
      </c>
      <c r="Y75" s="276"/>
      <c r="Z75" s="276"/>
      <c r="AB75" s="278" t="str">
        <f t="shared" si="14"/>
        <v/>
      </c>
    </row>
    <row r="76" spans="1:28" s="277" customFormat="1" ht="20.25">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12"/>
        <v/>
      </c>
      <c r="T76" s="225" t="str">
        <f ca="1">IF(B76="","",IF(ISERROR(MATCH($J76,SorP!$B$1:$B$6230,0)),"",INDIRECT("'SorP'!$A$"&amp;MATCH($J76,SorP!$B$1:$B$6230,0))))</f>
        <v/>
      </c>
      <c r="U76" s="241"/>
      <c r="V76" s="275" t="e">
        <f>IF(C76="",NA(),MATCH($B76&amp;$C76,'Smelter Look-up'!$J:$J,0))</f>
        <v>#N/A</v>
      </c>
      <c r="W76" s="276"/>
      <c r="X76" s="276">
        <f t="shared" ca="1" si="13"/>
        <v>0</v>
      </c>
      <c r="Y76" s="276"/>
      <c r="Z76" s="276"/>
      <c r="AB76" s="278" t="str">
        <f t="shared" si="14"/>
        <v/>
      </c>
    </row>
    <row r="77" spans="1:28" s="277" customFormat="1" ht="20.25">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12"/>
        <v/>
      </c>
      <c r="T77" s="225" t="str">
        <f ca="1">IF(B77="","",IF(ISERROR(MATCH($J77,SorP!$B$1:$B$6230,0)),"",INDIRECT("'SorP'!$A$"&amp;MATCH($J77,SorP!$B$1:$B$6230,0))))</f>
        <v/>
      </c>
      <c r="U77" s="241"/>
      <c r="V77" s="275" t="e">
        <f>IF(C77="",NA(),MATCH($B77&amp;$C77,'Smelter Look-up'!$J:$J,0))</f>
        <v>#N/A</v>
      </c>
      <c r="W77" s="276"/>
      <c r="X77" s="276">
        <f t="shared" ca="1" si="13"/>
        <v>0</v>
      </c>
      <c r="Y77" s="276"/>
      <c r="Z77" s="276"/>
      <c r="AB77" s="278" t="str">
        <f t="shared" si="14"/>
        <v/>
      </c>
    </row>
    <row r="78" spans="1:28" s="277" customFormat="1" ht="20.25">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12"/>
        <v/>
      </c>
      <c r="T78" s="225" t="str">
        <f ca="1">IF(B78="","",IF(ISERROR(MATCH($J78,SorP!$B$1:$B$6230,0)),"",INDIRECT("'SorP'!$A$"&amp;MATCH($J78,SorP!$B$1:$B$6230,0))))</f>
        <v/>
      </c>
      <c r="U78" s="241"/>
      <c r="V78" s="275" t="e">
        <f>IF(C78="",NA(),MATCH($B78&amp;$C78,'Smelter Look-up'!$J:$J,0))</f>
        <v>#N/A</v>
      </c>
      <c r="W78" s="276"/>
      <c r="X78" s="276">
        <f t="shared" ca="1" si="13"/>
        <v>0</v>
      </c>
      <c r="Y78" s="276"/>
      <c r="Z78" s="276"/>
      <c r="AB78" s="278" t="str">
        <f t="shared" si="14"/>
        <v/>
      </c>
    </row>
    <row r="79" spans="1:28" s="277" customFormat="1" ht="20.25">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12"/>
        <v/>
      </c>
      <c r="T79" s="225" t="str">
        <f ca="1">IF(B79="","",IF(ISERROR(MATCH($J79,SorP!$B$1:$B$6230,0)),"",INDIRECT("'SorP'!$A$"&amp;MATCH($J79,SorP!$B$1:$B$6230,0))))</f>
        <v/>
      </c>
      <c r="U79" s="241"/>
      <c r="V79" s="275" t="e">
        <f>IF(C79="",NA(),MATCH($B79&amp;$C79,'Smelter Look-up'!$J:$J,0))</f>
        <v>#N/A</v>
      </c>
      <c r="W79" s="276"/>
      <c r="X79" s="276">
        <f t="shared" ca="1" si="13"/>
        <v>0</v>
      </c>
      <c r="Y79" s="276"/>
      <c r="Z79" s="276"/>
      <c r="AB79" s="278" t="str">
        <f t="shared" si="14"/>
        <v/>
      </c>
    </row>
    <row r="80" spans="1:28" s="277" customFormat="1" ht="20.25">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12"/>
        <v/>
      </c>
      <c r="T80" s="225" t="str">
        <f ca="1">IF(B80="","",IF(ISERROR(MATCH($J80,SorP!$B$1:$B$6230,0)),"",INDIRECT("'SorP'!$A$"&amp;MATCH($J80,SorP!$B$1:$B$6230,0))))</f>
        <v/>
      </c>
      <c r="U80" s="241"/>
      <c r="V80" s="275" t="e">
        <f>IF(C80="",NA(),MATCH($B80&amp;$C80,'Smelter Look-up'!$J:$J,0))</f>
        <v>#N/A</v>
      </c>
      <c r="W80" s="276"/>
      <c r="X80" s="276">
        <f t="shared" ca="1" si="13"/>
        <v>0</v>
      </c>
      <c r="Y80" s="276"/>
      <c r="Z80" s="276"/>
      <c r="AB80" s="278" t="str">
        <f t="shared" si="14"/>
        <v/>
      </c>
    </row>
    <row r="81" spans="1:28" s="277" customFormat="1" ht="20.25">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12"/>
        <v/>
      </c>
      <c r="T81" s="225" t="str">
        <f ca="1">IF(B81="","",IF(ISERROR(MATCH($J81,SorP!$B$1:$B$6230,0)),"",INDIRECT("'SorP'!$A$"&amp;MATCH($J81,SorP!$B$1:$B$6230,0))))</f>
        <v/>
      </c>
      <c r="U81" s="241"/>
      <c r="V81" s="275" t="e">
        <f>IF(C81="",NA(),MATCH($B81&amp;$C81,'Smelter Look-up'!$J:$J,0))</f>
        <v>#N/A</v>
      </c>
      <c r="W81" s="276"/>
      <c r="X81" s="276">
        <f t="shared" ca="1" si="13"/>
        <v>0</v>
      </c>
      <c r="Y81" s="276"/>
      <c r="Z81" s="276"/>
      <c r="AB81" s="278" t="str">
        <f t="shared" si="14"/>
        <v/>
      </c>
    </row>
    <row r="82" spans="1:28" s="277" customFormat="1" ht="20.25">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12"/>
        <v/>
      </c>
      <c r="T82" s="225" t="str">
        <f ca="1">IF(B82="","",IF(ISERROR(MATCH($J82,SorP!$B$1:$B$6230,0)),"",INDIRECT("'SorP'!$A$"&amp;MATCH($J82,SorP!$B$1:$B$6230,0))))</f>
        <v/>
      </c>
      <c r="U82" s="241"/>
      <c r="V82" s="275" t="e">
        <f>IF(C82="",NA(),MATCH($B82&amp;$C82,'Smelter Look-up'!$J:$J,0))</f>
        <v>#N/A</v>
      </c>
      <c r="W82" s="276"/>
      <c r="X82" s="276">
        <f t="shared" ca="1" si="13"/>
        <v>0</v>
      </c>
      <c r="Y82" s="276"/>
      <c r="Z82" s="276"/>
      <c r="AB82" s="278" t="str">
        <f t="shared" si="14"/>
        <v/>
      </c>
    </row>
    <row r="83" spans="1:28" s="277" customFormat="1" ht="20.25">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12"/>
        <v/>
      </c>
      <c r="T83" s="225" t="str">
        <f ca="1">IF(B83="","",IF(ISERROR(MATCH($J83,SorP!$B$1:$B$6230,0)),"",INDIRECT("'SorP'!$A$"&amp;MATCH($J83,SorP!$B$1:$B$6230,0))))</f>
        <v/>
      </c>
      <c r="U83" s="241"/>
      <c r="V83" s="275" t="e">
        <f>IF(C83="",NA(),MATCH($B83&amp;$C83,'Smelter Look-up'!$J:$J,0))</f>
        <v>#N/A</v>
      </c>
      <c r="W83" s="276"/>
      <c r="X83" s="276">
        <f t="shared" ca="1" si="13"/>
        <v>0</v>
      </c>
      <c r="Y83" s="276"/>
      <c r="Z83" s="276"/>
      <c r="AB83" s="278" t="str">
        <f t="shared" si="14"/>
        <v/>
      </c>
    </row>
    <row r="84" spans="1:28" s="277" customFormat="1" ht="20.25">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12"/>
        <v/>
      </c>
      <c r="T84" s="225" t="str">
        <f ca="1">IF(B84="","",IF(ISERROR(MATCH($J84,SorP!$B$1:$B$6230,0)),"",INDIRECT("'SorP'!$A$"&amp;MATCH($J84,SorP!$B$1:$B$6230,0))))</f>
        <v/>
      </c>
      <c r="U84" s="241"/>
      <c r="V84" s="275" t="e">
        <f>IF(C84="",NA(),MATCH($B84&amp;$C84,'Smelter Look-up'!$J:$J,0))</f>
        <v>#N/A</v>
      </c>
      <c r="W84" s="276"/>
      <c r="X84" s="276">
        <f t="shared" ca="1" si="13"/>
        <v>0</v>
      </c>
      <c r="Y84" s="276"/>
      <c r="Z84" s="276"/>
      <c r="AB84" s="278" t="str">
        <f t="shared" si="14"/>
        <v/>
      </c>
    </row>
    <row r="85" spans="1:28" s="277" customFormat="1" ht="20.25">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12"/>
        <v/>
      </c>
      <c r="T85" s="225" t="str">
        <f ca="1">IF(B85="","",IF(ISERROR(MATCH($J85,SorP!$B$1:$B$6230,0)),"",INDIRECT("'SorP'!$A$"&amp;MATCH($J85,SorP!$B$1:$B$6230,0))))</f>
        <v/>
      </c>
      <c r="U85" s="241"/>
      <c r="V85" s="275" t="e">
        <f>IF(C85="",NA(),MATCH($B85&amp;$C85,'Smelter Look-up'!$J:$J,0))</f>
        <v>#N/A</v>
      </c>
      <c r="W85" s="276"/>
      <c r="X85" s="276">
        <f t="shared" ca="1" si="13"/>
        <v>0</v>
      </c>
      <c r="Y85" s="276"/>
      <c r="Z85" s="276"/>
      <c r="AB85" s="278" t="str">
        <f t="shared" si="14"/>
        <v/>
      </c>
    </row>
    <row r="86" spans="1:28" s="277" customFormat="1" ht="20.25">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12"/>
        <v/>
      </c>
      <c r="T86" s="225" t="str">
        <f ca="1">IF(B86="","",IF(ISERROR(MATCH($J86,SorP!$B$1:$B$6230,0)),"",INDIRECT("'SorP'!$A$"&amp;MATCH($J86,SorP!$B$1:$B$6230,0))))</f>
        <v/>
      </c>
      <c r="U86" s="241"/>
      <c r="V86" s="275" t="e">
        <f>IF(C86="",NA(),MATCH($B86&amp;$C86,'Smelter Look-up'!$J:$J,0))</f>
        <v>#N/A</v>
      </c>
      <c r="W86" s="276"/>
      <c r="X86" s="276">
        <f t="shared" ca="1" si="13"/>
        <v>0</v>
      </c>
      <c r="Y86" s="276"/>
      <c r="Z86" s="276"/>
      <c r="AB86" s="278" t="str">
        <f t="shared" si="14"/>
        <v/>
      </c>
    </row>
    <row r="87" spans="1:28" s="277" customFormat="1" ht="20.25">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12"/>
        <v/>
      </c>
      <c r="T87" s="225" t="str">
        <f ca="1">IF(B87="","",IF(ISERROR(MATCH($J87,SorP!$B$1:$B$6230,0)),"",INDIRECT("'SorP'!$A$"&amp;MATCH($J87,SorP!$B$1:$B$6230,0))))</f>
        <v/>
      </c>
      <c r="U87" s="241"/>
      <c r="V87" s="275" t="e">
        <f>IF(C87="",NA(),MATCH($B87&amp;$C87,'Smelter Look-up'!$J:$J,0))</f>
        <v>#N/A</v>
      </c>
      <c r="W87" s="276"/>
      <c r="X87" s="276">
        <f t="shared" ca="1" si="13"/>
        <v>0</v>
      </c>
      <c r="Y87" s="276"/>
      <c r="Z87" s="276"/>
      <c r="AB87" s="278" t="str">
        <f t="shared" si="14"/>
        <v/>
      </c>
    </row>
    <row r="88" spans="1:28" s="277" customFormat="1" ht="20.25">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12"/>
        <v/>
      </c>
      <c r="T88" s="225" t="str">
        <f ca="1">IF(B88="","",IF(ISERROR(MATCH($J88,SorP!$B$1:$B$6230,0)),"",INDIRECT("'SorP'!$A$"&amp;MATCH($J88,SorP!$B$1:$B$6230,0))))</f>
        <v/>
      </c>
      <c r="U88" s="241"/>
      <c r="V88" s="275" t="e">
        <f>IF(C88="",NA(),MATCH($B88&amp;$C88,'Smelter Look-up'!$J:$J,0))</f>
        <v>#N/A</v>
      </c>
      <c r="W88" s="276"/>
      <c r="X88" s="276">
        <f t="shared" ca="1" si="13"/>
        <v>0</v>
      </c>
      <c r="Y88" s="276"/>
      <c r="Z88" s="276"/>
      <c r="AB88" s="278" t="str">
        <f t="shared" si="14"/>
        <v/>
      </c>
    </row>
    <row r="89" spans="1:28" s="277" customFormat="1" ht="20.25">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20.25">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20.25">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20.25">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0.25">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0.25">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0.25">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0.25">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0.25">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0.25">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0.25">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0.25">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0.25">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0.25">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0.25">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0.25">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0.2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2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2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2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2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2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2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2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2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2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2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2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2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2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2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2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2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2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2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2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2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2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2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2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2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2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2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2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2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2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2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2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2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2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2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2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2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2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2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2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2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2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2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2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2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2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2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2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2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2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2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2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customSheetView>
  </customSheetViews>
  <mergeCells count="3">
    <mergeCell ref="J2:O2"/>
    <mergeCell ref="B3:E3"/>
    <mergeCell ref="G3:I3"/>
  </mergeCells>
  <conditionalFormatting sqref="B586:B2504">
    <cfRule type="expression" dxfId="56" priority="46" stopIfTrue="1">
      <formula>IF(B586="",TRUE)</formula>
    </cfRule>
    <cfRule type="expression" dxfId="55" priority="57" stopIfTrue="1">
      <formula>IF(AND(COUNTIF(MetalSmelter,B586&amp;C586)=0,LEN(C586)&gt;0),TRUE,FALSE)</formula>
    </cfRule>
  </conditionalFormatting>
  <conditionalFormatting sqref="D586:D2504">
    <cfRule type="expression" dxfId="54" priority="40" stopIfTrue="1">
      <formula>IF(AND(LEN($C586)&gt;0,($C586&lt;&gt;"Smelter Not Listed")),1,0)</formula>
    </cfRule>
    <cfRule type="expression" dxfId="53" priority="65" stopIfTrue="1">
      <formula>IF(AND(D586="",$C586=$X$4),TRUE)</formula>
    </cfRule>
    <cfRule type="expression" dxfId="52" priority="66" stopIfTrue="1">
      <formula>IF(FIND("!",D586),TRUE)</formula>
    </cfRule>
  </conditionalFormatting>
  <conditionalFormatting sqref="G586:G2504">
    <cfRule type="expression" dxfId="51" priority="67" stopIfTrue="1">
      <formula>IF(FIND("Enter smelter details",G586),TRUE)</formula>
    </cfRule>
  </conditionalFormatting>
  <conditionalFormatting sqref="R586:R2505 E586:E2504">
    <cfRule type="expression" dxfId="50" priority="53" stopIfTrue="1">
      <formula>IF(AND(E586="",$C586=$X$4),TRUE)</formula>
    </cfRule>
    <cfRule type="expression" dxfId="49" priority="54" stopIfTrue="1">
      <formula>IF(FIND("!",E586),TRUE)</formula>
    </cfRule>
  </conditionalFormatting>
  <conditionalFormatting sqref="F586:F2504">
    <cfRule type="expression" dxfId="48" priority="44" stopIfTrue="1">
      <formula>IF(AND(LEN($A586)&gt;0,$A586&lt;&gt;$F586),TRUE,FALSE)</formula>
    </cfRule>
  </conditionalFormatting>
  <conditionalFormatting sqref="C586:C2504">
    <cfRule type="expression" dxfId="47" priority="43" stopIfTrue="1">
      <formula>IF(AND(B586&lt;&gt;"",C586=""),TRUE)</formula>
    </cfRule>
  </conditionalFormatting>
  <conditionalFormatting sqref="B21:B585 B5:B19">
    <cfRule type="expression" dxfId="46" priority="22" stopIfTrue="1">
      <formula>IF(B5="",TRUE)</formula>
    </cfRule>
    <cfRule type="expression" dxfId="45" priority="25" stopIfTrue="1">
      <formula>IF(AND(COUNTIF(MetalSmelter,B5&amp;C5)=0,LEN(C5)&gt;0),TRUE,FALSE)</formula>
    </cfRule>
  </conditionalFormatting>
  <conditionalFormatting sqref="D68:D585">
    <cfRule type="expression" dxfId="44" priority="19" stopIfTrue="1">
      <formula>IF(AND(LEN($C68)&gt;0,($C68&lt;&gt;"Smelter Not Listed")),1,0)</formula>
    </cfRule>
    <cfRule type="expression" dxfId="43" priority="26" stopIfTrue="1">
      <formula>IF(AND(D68="",$C68=$X$4),TRUE)</formula>
    </cfRule>
    <cfRule type="expression" dxfId="42" priority="27" stopIfTrue="1">
      <formula>IF(FIND("!",D68),TRUE)</formula>
    </cfRule>
  </conditionalFormatting>
  <conditionalFormatting sqref="G5:G19 G21:G585">
    <cfRule type="expression" dxfId="41" priority="28" stopIfTrue="1">
      <formula>IF(FIND("Enter smelter details",G5),TRUE)</formula>
    </cfRule>
  </conditionalFormatting>
  <conditionalFormatting sqref="R5:R585 E5:E19 E21:E585">
    <cfRule type="expression" dxfId="40" priority="23" stopIfTrue="1">
      <formula>IF(AND(E5="",$C5=$X$4),TRUE)</formula>
    </cfRule>
    <cfRule type="expression" dxfId="39" priority="24" stopIfTrue="1">
      <formula>IF(FIND("!",E5),TRUE)</formula>
    </cfRule>
  </conditionalFormatting>
  <conditionalFormatting sqref="F5:F19 F21:F585">
    <cfRule type="expression" dxfId="38" priority="21" stopIfTrue="1">
      <formula>IF(AND(LEN($A5)&gt;0,$A5&lt;&gt;$F5),TRUE,FALSE)</formula>
    </cfRule>
  </conditionalFormatting>
  <conditionalFormatting sqref="C21:C585 C5:C19">
    <cfRule type="expression" dxfId="37" priority="20" stopIfTrue="1">
      <formula>IF(AND(B5&lt;&gt;"",C5=""),TRUE)</formula>
    </cfRule>
  </conditionalFormatting>
  <conditionalFormatting sqref="B20">
    <cfRule type="expression" dxfId="36" priority="12" stopIfTrue="1">
      <formula>IF(B20="",TRUE)</formula>
    </cfRule>
    <cfRule type="expression" dxfId="35" priority="15" stopIfTrue="1">
      <formula>IF(AND(COUNTIF(MetalSmelter,B20&amp;C20)=0,LEN(C20)&gt;0),TRUE,FALSE)</formula>
    </cfRule>
  </conditionalFormatting>
  <conditionalFormatting sqref="G20">
    <cfRule type="expression" dxfId="34" priority="18" stopIfTrue="1">
      <formula>IF(FIND("Enter smelter details",G20),TRUE)</formula>
    </cfRule>
  </conditionalFormatting>
  <conditionalFormatting sqref="E20">
    <cfRule type="expression" dxfId="33" priority="13" stopIfTrue="1">
      <formula>IF(AND(E20="",$C20=$X$4),TRUE)</formula>
    </cfRule>
    <cfRule type="expression" dxfId="32" priority="14" stopIfTrue="1">
      <formula>IF(FIND("!",E20),TRUE)</formula>
    </cfRule>
  </conditionalFormatting>
  <conditionalFormatting sqref="F20">
    <cfRule type="expression" dxfId="31" priority="11" stopIfTrue="1">
      <formula>IF(AND(LEN($A20)&gt;0,$A20&lt;&gt;$F20),TRUE,FALSE)</formula>
    </cfRule>
  </conditionalFormatting>
  <conditionalFormatting sqref="C20">
    <cfRule type="expression" dxfId="30" priority="10" stopIfTrue="1">
      <formula>IF(AND(B20&lt;&gt;"",C20=""),TRUE)</formula>
    </cfRule>
  </conditionalFormatting>
  <conditionalFormatting sqref="A33:A36">
    <cfRule type="expression" dxfId="29" priority="6" stopIfTrue="1">
      <formula>IF(AND(LEN($A33)&gt;0,$A33&lt;&gt;$F33),TRUE,FALSE)</formula>
    </cfRule>
  </conditionalFormatting>
  <conditionalFormatting sqref="A31">
    <cfRule type="expression" dxfId="28" priority="5" stopIfTrue="1">
      <formula>IF(AND(LEN($A31)&gt;0,$A31&lt;&gt;$F31),TRUE,FALSE)</formula>
    </cfRule>
  </conditionalFormatting>
  <conditionalFormatting sqref="A32">
    <cfRule type="expression" dxfId="27" priority="4" stopIfTrue="1">
      <formula>IF(AND(LEN($A32)&gt;0,$A32&lt;&gt;$F32),TRUE,FALSE)</formula>
    </cfRule>
  </conditionalFormatting>
  <conditionalFormatting sqref="D5:D67">
    <cfRule type="expression" dxfId="26" priority="1" stopIfTrue="1">
      <formula>IF(AND(LEN($C5) &gt;0, ($C5 &lt;&gt; "Smelter Not Listed")),1,0)</formula>
    </cfRule>
    <cfRule type="expression" dxfId="25" priority="2" stopIfTrue="1">
      <formula>IF(AND(D5="",$C5=$X$4),TRUE)</formula>
    </cfRule>
    <cfRule type="expression" dxfId="24" priority="3" stopIfTrue="1">
      <formula>IF(FIND("!",D5),TRUE)</formula>
    </cfRule>
  </conditionalFormatting>
  <dataValidations count="5">
    <dataValidation type="list" allowBlank="1" showInputMessage="1" showErrorMessage="1" sqref="B5:B2504">
      <formula1>Metal</formula1>
    </dataValidation>
    <dataValidation allowBlank="1" showErrorMessage="1" sqref="F5:G2504"/>
    <dataValidation type="list" showInputMessage="1" showErrorMessage="1" sqref="C5:C2504">
      <formula1>SN</formula1>
    </dataValidation>
    <dataValidation type="list" allowBlank="1" showInputMessage="1" showErrorMessage="1" sqref="E5:E2504">
      <formula1>CL</formula1>
    </dataValidation>
    <dataValidation type="list" allowBlank="1" showInputMessage="1" showErrorMessage="1" sqref="P5:P2504">
      <formula1>$AH$2:$AH$4</formula1>
    </dataValidation>
  </dataValidations>
  <hyperlinks>
    <hyperlink ref="J2:O2" r:id="rId2" display="http://www.responsiblemineralsinitiative.org/conformant-smelter-refiner-lists/"/>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sqref="A1:C1"/>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2" t="str">
        <f ca="1">OFFSET(L!$C$1,MATCH("Checker"&amp;ADDRESS(ROW(),COLUMN(),4),L!$A:$A,0)-1,SL,,)</f>
        <v>To ensure all required fields have been populated before submitting to your customers review form for any line items highlighted in red</v>
      </c>
      <c r="B1" s="442"/>
      <c r="C1" s="442"/>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Knowles Corporation, on behalf of itself and all of its affiliates, collectively referred to as “Knowles”</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t="str">
        <f>Declaration!D10</f>
        <v xml:space="preserve">Precision Devices Division - PD - Highly engineered Capacitors and Microwave to Millimeter Wave components. </v>
      </c>
      <c r="C6" s="102" t="str">
        <f ca="1">IF(H6=1,J6,I6)</f>
        <v>Complete</v>
      </c>
      <c r="D6" s="108" t="str">
        <f>IF(H6=1,"Click here to provide a Description of Scope","")</f>
        <v/>
      </c>
      <c r="E6" s="84" t="s">
        <v>1330</v>
      </c>
      <c r="F6" s="107">
        <f>IF(OR(B5=Declaration!P9,B5=Declaration!Q9,B5=0),0,1)</f>
        <v>0</v>
      </c>
      <c r="G6" s="81">
        <f>IF(B6=0,1,0)</f>
        <v>0</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Sean England</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Sean.England@Knowles.com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+44 1603 723368</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Sean England</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Sean.England@Knowles.com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44032</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No</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No</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t="str">
        <f>IF(AND($B$14="Yes",$B$19="Yes"),Declaration!D44,0)</f>
        <v>Unknown</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Unknown</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Unknown</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Unknown</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299">
        <f>IF(AND($B$17="Yes",$B$22="Yes"),Declaration!D59,0)</f>
        <v>1</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t="str">
        <f>Declaration!G77</f>
        <v>https://www.knowles.com/about-knowles/legal/conflict-minerals</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Yes, with the SEC</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 ca="1">IF(H65=0,"","Click here to provide smelter information")</f>
        <v/>
      </c>
      <c r="E65" s="84" t="s">
        <v>1330</v>
      </c>
      <c r="F65" s="107">
        <f>F24</f>
        <v>1</v>
      </c>
      <c r="G65" s="81">
        <f ca="1">IF(AND(COUNTIF(SmelterIdetifiedForMetal,"Tantalum")&gt;0,COUNTIF('Smelter List'!AB$5:AB$2504,"Tantalum?*")&gt;0),0,1)</f>
        <v>0</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 ca="1">IF(H68=0,"","Click here to provide smelter information")</f>
        <v/>
      </c>
      <c r="E68" s="84" t="s">
        <v>828</v>
      </c>
      <c r="F68" s="107">
        <f>F27</f>
        <v>1</v>
      </c>
      <c r="G68" s="81">
        <f ca="1">IF(AND(COUNTIF(SmelterIdetifiedForMetal,"Tungsten")&gt;0,COUNTIF('Smelter List'!AB$5:AB$2504,"Tungsten?*")&gt;0),0,1)</f>
        <v>0</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 ca="1">IF(F69=0,J69,IF(G69=0,I69,L69))</f>
        <v>Complete</v>
      </c>
      <c r="D69" s="108"/>
      <c r="E69" s="84"/>
      <c r="F69" s="107">
        <f ca="1">IF(COUNTIF('Smelter List'!C5:C2504,"Smelter not listed")=0,0,1)</f>
        <v>1</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2" location="Declaration!B22" display="Declaration!B22"/>
    <hyperlink ref="D14" location="Declaration!B26" display="Declaration!B26"/>
    <hyperlink ref="D15" location="Declaration!B27" display="Declaration!B27"/>
    <hyperlink ref="D16" location="Declaration!B28" display="Declaration!B28"/>
    <hyperlink ref="D17" location="Declaration!B29" display="Declaration!B29"/>
    <hyperlink ref="D19" location="Declaration!B32" display="Declaration!B32"/>
    <hyperlink ref="D20" location="Declaration!B33" display="Declaration!B33"/>
    <hyperlink ref="D21" location="Declaration!B34" display="Declaration!B34"/>
    <hyperlink ref="D22" location="Declaration!B35" display="Declaration!B35"/>
    <hyperlink ref="D24" location="Declaration!B38" display="Declaration!B38"/>
    <hyperlink ref="D25" location="Declaration!B39" display="Declaration!B39"/>
    <hyperlink ref="D26" location="Declaration!B40" display="Declaration!B40"/>
    <hyperlink ref="D27" location="Declaration!B41" display="Declaration!B41"/>
    <hyperlink ref="D39" location="Declaration!B56" display="Declaration!B56"/>
    <hyperlink ref="D40" location="Declaration!B57" display="Declaration!B57"/>
    <hyperlink ref="D41" location="Declaration!B58" display="Declaration!B58"/>
    <hyperlink ref="D42" location="Declaration!B59" display="Declaration!B59"/>
    <hyperlink ref="D44" location="Declaration!B62" display="Declaration!B62"/>
    <hyperlink ref="D45" location="Declaration!B63" display="Declaration!B63"/>
    <hyperlink ref="D46" location="Declaration!B64" display="Declaration!B64"/>
    <hyperlink ref="D47" location="Declaration!B65" display="Declaration!B65"/>
    <hyperlink ref="D49" location="Declaration!B68" display="Declaration!B68"/>
    <hyperlink ref="D50" location="Declaration!B69" display="Declaration!B69"/>
    <hyperlink ref="D51" location="Declaration!B70" display="Declaration!B70"/>
    <hyperlink ref="D52" location="Declaration!B71" display="Declaration!B71"/>
    <hyperlink ref="D54" location="Declaration!B75" display="Declaration!B75"/>
    <hyperlink ref="D55" location="Declaration!B77" display="Declaration!B77"/>
    <hyperlink ref="D57" location="Declaration!B79" display="Declaration!B79"/>
    <hyperlink ref="D58" location="Declaration!B81" display="Declaration!B81"/>
    <hyperlink ref="D59" location="Declaration!B83" display="Declaration!B83"/>
    <hyperlink ref="D60" location="Declaration!B85" display="Declaration!B85"/>
    <hyperlink ref="D63" location="Declaration!B89" display="Declaration!B89"/>
    <hyperlink ref="D6" location="Declaration!B10" display="Declaration!B10"/>
    <hyperlink ref="B2" location="'Smelter List'!A1" display="'Smelter List'!A1"/>
    <hyperlink ref="D64" location="'Product List'!A1" display="'Product List'!A1"/>
    <hyperlink ref="D34" location="Declaration!B50" display="Declaration!B50"/>
    <hyperlink ref="D35" location="Declaration!B51" display="Declaration!B51"/>
    <hyperlink ref="D36" location="Declaration!B52" display="Declaration!B52"/>
    <hyperlink ref="D37" location="Declaration!B53" display="Declaration!B53"/>
    <hyperlink ref="D7:D9" location="Declaration!B8" display="Declaration!B8"/>
    <hyperlink ref="D7" location="Declaration!B15" display="Declaration!B15"/>
    <hyperlink ref="D8" location="Declaration!B16" display="Declaration!B16"/>
    <hyperlink ref="D9" location="Declaration!B17" display="Declaration!B17"/>
    <hyperlink ref="D56" location="Declaration!G77" display="Declaration!G77"/>
    <hyperlink ref="D65" location="'Smelter List'!A1" display="'Smelter List'!A1"/>
    <hyperlink ref="D66" location="'Smelter List'!A1" display="'Smelter List'!A1"/>
    <hyperlink ref="D67" location="'Smelter List'!A1" display="'Smelter List'!A1"/>
    <hyperlink ref="D62" location="Declaration!B87" display="Declaration!B87"/>
    <hyperlink ref="D68" location="'Smelter List'!A1" display="'Smelter List'!A1"/>
    <hyperlink ref="D29" location="Declaration!B44" display="Declaration!B44"/>
    <hyperlink ref="D30" location="Declaration!B45" display="Declaration!B45"/>
    <hyperlink ref="D31" location="Declaration!B46" display="Declaration!B46"/>
    <hyperlink ref="D32" location="Declaration!B47" display="Declaration!B47"/>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sqref="A1:D1"/>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4" t="str">
        <f ca="1">OFFSET(L!$C$1,MATCH("Product List"&amp;ADDRESS(ROW(),COLUMN(),4),L!$A:$A,0)-1,SL,,)</f>
        <v>Completion required only if reporting level "Product (or List of Products)" selected on the 'Declaration' worksheet.</v>
      </c>
      <c r="B1" s="445"/>
      <c r="C1" s="445"/>
      <c r="D1" s="445"/>
      <c r="E1" s="145"/>
    </row>
    <row r="2" spans="1:6">
      <c r="A2" s="29"/>
      <c r="B2" s="147"/>
      <c r="C2" s="147"/>
      <c r="D2"/>
      <c r="E2" s="30"/>
    </row>
    <row r="3" spans="1:6">
      <c r="A3" s="29"/>
      <c r="B3" s="147"/>
      <c r="C3" s="147"/>
      <c r="D3" s="147"/>
      <c r="E3" s="30"/>
    </row>
    <row r="4" spans="1:6" ht="15.75" customHeight="1">
      <c r="A4" s="29"/>
      <c r="B4" s="443" t="s">
        <v>921</v>
      </c>
      <c r="C4" s="443"/>
      <c r="D4" s="443"/>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6" t="str">
        <f ca="1">OFFSET(L!$C$1,MATCH("General"&amp;"Cpy",L!$A:$A,0)-1,SL,,)</f>
        <v>© 2020 Responsible Minerals Initiative. All rights reserved.</v>
      </c>
      <c r="C1001" s="446"/>
      <c r="D1001" s="446"/>
      <c r="E1001" s="31"/>
    </row>
    <row r="1002" spans="1:6" ht="13.5"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591"/>
  <sheetViews>
    <sheetView zoomScaleNormal="100" zoomScalePageLayoutView="85" workbookViewId="0">
      <pane ySplit="4" topLeftCell="A5" activePane="bottomLeft" state="frozen"/>
      <selection activeCell="A4" sqref="A4"/>
      <selection pane="bottomLeft" sqref="A1:G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47"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7"/>
      <c r="C1" s="447"/>
      <c r="D1" s="447"/>
      <c r="E1" s="447"/>
      <c r="F1" s="447"/>
      <c r="G1" s="447"/>
    </row>
    <row r="2" spans="1:16">
      <c r="A2" s="448"/>
      <c r="B2" s="448"/>
      <c r="C2" s="448"/>
      <c r="D2" s="448"/>
      <c r="E2" s="448"/>
      <c r="F2" s="448"/>
      <c r="G2" s="448"/>
      <c r="H2" s="448"/>
      <c r="I2" s="448"/>
    </row>
    <row r="3" spans="1:16">
      <c r="A3" s="448"/>
      <c r="B3" s="448"/>
      <c r="C3" s="448"/>
      <c r="D3" s="448"/>
      <c r="E3" s="448"/>
      <c r="F3" s="448"/>
      <c r="G3" s="448"/>
      <c r="H3" s="448"/>
      <c r="I3" s="448"/>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5"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5" t="s">
        <v>14581</v>
      </c>
      <c r="G3" s="293" t="s">
        <v>1064</v>
      </c>
      <c r="H3" s="293" t="s">
        <v>877</v>
      </c>
      <c r="I3" s="293" t="s">
        <v>1065</v>
      </c>
      <c r="J3" s="293" t="s">
        <v>1066</v>
      </c>
      <c r="K3" s="287" t="s">
        <v>408</v>
      </c>
      <c r="L3" s="300" t="s">
        <v>1197</v>
      </c>
      <c r="M3" s="293" t="s">
        <v>15081</v>
      </c>
    </row>
    <row r="4" spans="1:13" ht="399">
      <c r="A4" s="293" t="str">
        <f t="shared" ref="A4:A27" si="1">B4&amp;C4</f>
        <v>InstructionsA3</v>
      </c>
      <c r="B4" s="293" t="s">
        <v>542</v>
      </c>
      <c r="C4" s="293" t="s">
        <v>649</v>
      </c>
      <c r="D4" s="293" t="s">
        <v>13618</v>
      </c>
      <c r="E4" s="328" t="s">
        <v>14483</v>
      </c>
      <c r="F4" s="345"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5"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5"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5"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5"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6"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5"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5"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5" t="s">
        <v>14589</v>
      </c>
      <c r="G12" s="293" t="s">
        <v>356</v>
      </c>
      <c r="H12" s="293" t="s">
        <v>436</v>
      </c>
      <c r="I12" s="293" t="s">
        <v>288</v>
      </c>
      <c r="J12" s="293" t="s">
        <v>1355</v>
      </c>
      <c r="K12" s="252" t="s">
        <v>126</v>
      </c>
      <c r="L12" s="300" t="s">
        <v>8</v>
      </c>
      <c r="M12" s="293" t="s">
        <v>15089</v>
      </c>
    </row>
    <row r="13" spans="1:13" ht="57">
      <c r="A13" s="293" t="str">
        <f t="shared" si="1"/>
        <v>InstructionsA13</v>
      </c>
      <c r="B13" s="293" t="s">
        <v>542</v>
      </c>
      <c r="C13" s="293" t="s">
        <v>1204</v>
      </c>
      <c r="D13" s="293" t="s">
        <v>421</v>
      </c>
      <c r="E13" s="257" t="s">
        <v>13638</v>
      </c>
      <c r="F13" s="345"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5" t="s">
        <v>14591</v>
      </c>
      <c r="G14" s="293" t="s">
        <v>358</v>
      </c>
      <c r="H14" s="293" t="s">
        <v>438</v>
      </c>
      <c r="I14" s="293" t="s">
        <v>290</v>
      </c>
      <c r="J14" s="293" t="s">
        <v>1385</v>
      </c>
      <c r="K14" s="252" t="s">
        <v>124</v>
      </c>
      <c r="L14" s="300" t="s">
        <v>10</v>
      </c>
      <c r="M14" s="293" t="s">
        <v>15091</v>
      </c>
    </row>
    <row r="15" spans="1:13" ht="42.75">
      <c r="A15" s="293" t="str">
        <f t="shared" si="1"/>
        <v>InstructionsA15</v>
      </c>
      <c r="B15" s="293" t="s">
        <v>542</v>
      </c>
      <c r="C15" s="293" t="s">
        <v>424</v>
      </c>
      <c r="D15" s="293" t="s">
        <v>423</v>
      </c>
      <c r="E15" s="257" t="s">
        <v>13640</v>
      </c>
      <c r="F15" s="345"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5" t="s">
        <v>14593</v>
      </c>
      <c r="G16" s="293" t="s">
        <v>360</v>
      </c>
      <c r="H16" s="293" t="s">
        <v>440</v>
      </c>
      <c r="I16" s="293" t="s">
        <v>292</v>
      </c>
      <c r="J16" s="293" t="s">
        <v>1358</v>
      </c>
      <c r="K16" s="287" t="s">
        <v>412</v>
      </c>
      <c r="L16" s="300" t="s">
        <v>12</v>
      </c>
      <c r="M16" s="293" t="s">
        <v>15093</v>
      </c>
    </row>
    <row r="17" spans="1:13" ht="42.75">
      <c r="A17" s="293" t="str">
        <f t="shared" si="1"/>
        <v>InstructionsA17</v>
      </c>
      <c r="B17" s="293" t="s">
        <v>542</v>
      </c>
      <c r="C17" s="293" t="s">
        <v>1207</v>
      </c>
      <c r="D17" s="293" t="s">
        <v>425</v>
      </c>
      <c r="E17" s="257" t="s">
        <v>13641</v>
      </c>
      <c r="F17" s="345"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5"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5"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5"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5"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5"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6" t="s">
        <v>14599</v>
      </c>
      <c r="G23" s="295" t="s">
        <v>14783</v>
      </c>
      <c r="H23" s="295" t="s">
        <v>14857</v>
      </c>
      <c r="I23" s="295" t="s">
        <v>14914</v>
      </c>
      <c r="J23" s="295" t="s">
        <v>15310</v>
      </c>
      <c r="K23" s="295" t="s">
        <v>14973</v>
      </c>
      <c r="L23" s="295" t="s">
        <v>15033</v>
      </c>
      <c r="M23" s="295" t="s">
        <v>15100</v>
      </c>
    </row>
    <row r="24" spans="1:13" ht="127.5">
      <c r="A24" s="293" t="str">
        <f t="shared" si="1"/>
        <v>InstructionsA25</v>
      </c>
      <c r="B24" s="293" t="s">
        <v>542</v>
      </c>
      <c r="C24" s="293" t="s">
        <v>1214</v>
      </c>
      <c r="D24" s="295" t="s">
        <v>15313</v>
      </c>
      <c r="E24" s="295" t="s">
        <v>14491</v>
      </c>
      <c r="F24" s="346"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0"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5"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0"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6"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6"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6"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4"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4" t="s">
        <v>14607</v>
      </c>
      <c r="G32" s="306" t="s">
        <v>14790</v>
      </c>
      <c r="H32" s="302" t="s">
        <v>14367</v>
      </c>
      <c r="I32" s="290" t="s">
        <v>14368</v>
      </c>
      <c r="J32" s="290" t="s">
        <v>14369</v>
      </c>
      <c r="K32" s="303" t="s">
        <v>14370</v>
      </c>
      <c r="L32" s="304" t="s">
        <v>15041</v>
      </c>
      <c r="M32" s="290" t="s">
        <v>14371</v>
      </c>
    </row>
    <row r="33" spans="1:13" ht="135">
      <c r="A33" s="293" t="str">
        <f t="shared" si="3"/>
        <v>InstructionsA34</v>
      </c>
      <c r="B33" s="293" t="s">
        <v>542</v>
      </c>
      <c r="C33" s="293" t="s">
        <v>1221</v>
      </c>
      <c r="D33" s="295" t="s">
        <v>14372</v>
      </c>
      <c r="E33" s="329" t="s">
        <v>14373</v>
      </c>
      <c r="F33" s="344"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5"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4"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5"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5"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5"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0" t="s">
        <v>14613</v>
      </c>
      <c r="G39" s="290" t="s">
        <v>14796</v>
      </c>
      <c r="H39" s="290" t="s">
        <v>14868</v>
      </c>
      <c r="I39" s="290" t="s">
        <v>14922</v>
      </c>
      <c r="J39" s="290" t="s">
        <v>14391</v>
      </c>
      <c r="K39" s="303" t="s">
        <v>14984</v>
      </c>
      <c r="L39" s="304" t="s">
        <v>15046</v>
      </c>
      <c r="M39" s="290" t="s">
        <v>15112</v>
      </c>
    </row>
    <row r="40" spans="1:13" ht="409.5">
      <c r="A40" s="293" t="str">
        <f t="shared" si="3"/>
        <v>InstructionsA42</v>
      </c>
      <c r="B40" s="293" t="s">
        <v>542</v>
      </c>
      <c r="C40" s="293" t="s">
        <v>1225</v>
      </c>
      <c r="D40" s="293" t="s">
        <v>15452</v>
      </c>
      <c r="E40" s="293" t="s">
        <v>14503</v>
      </c>
      <c r="F40" s="345"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0" t="s">
        <v>14614</v>
      </c>
      <c r="G41" s="290" t="s">
        <v>14797</v>
      </c>
      <c r="H41" s="302" t="s">
        <v>14869</v>
      </c>
      <c r="I41" s="290" t="s">
        <v>14923</v>
      </c>
      <c r="J41" s="290" t="s">
        <v>14393</v>
      </c>
      <c r="K41" s="303" t="s">
        <v>14985</v>
      </c>
      <c r="L41" s="304" t="s">
        <v>15047</v>
      </c>
      <c r="M41" s="290" t="s">
        <v>15113</v>
      </c>
    </row>
    <row r="42" spans="1:13" ht="225">
      <c r="A42" s="293" t="str">
        <f t="shared" si="3"/>
        <v>InstructionsA44</v>
      </c>
      <c r="B42" s="293" t="s">
        <v>542</v>
      </c>
      <c r="C42" s="293" t="s">
        <v>1227</v>
      </c>
      <c r="D42" s="293" t="s">
        <v>14394</v>
      </c>
      <c r="E42" s="329" t="s">
        <v>14505</v>
      </c>
      <c r="F42" s="340" t="s">
        <v>14615</v>
      </c>
      <c r="G42" s="290" t="s">
        <v>14798</v>
      </c>
      <c r="H42" s="302" t="s">
        <v>14870</v>
      </c>
      <c r="I42" s="290" t="s">
        <v>14924</v>
      </c>
      <c r="J42" s="290" t="s">
        <v>14395</v>
      </c>
      <c r="K42" s="303" t="s">
        <v>14986</v>
      </c>
      <c r="L42" s="304" t="s">
        <v>15048</v>
      </c>
      <c r="M42" s="290" t="s">
        <v>15114</v>
      </c>
    </row>
    <row r="43" spans="1:13" ht="120">
      <c r="A43" s="293" t="str">
        <f t="shared" si="3"/>
        <v>InstructionsA45</v>
      </c>
      <c r="B43" s="293" t="s">
        <v>542</v>
      </c>
      <c r="C43" s="293" t="s">
        <v>1228</v>
      </c>
      <c r="D43" s="293" t="s">
        <v>14396</v>
      </c>
      <c r="E43" s="329" t="s">
        <v>14397</v>
      </c>
      <c r="F43" s="340"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5"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5"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5" t="s">
        <v>14619</v>
      </c>
      <c r="G46" s="293" t="s">
        <v>1194</v>
      </c>
      <c r="H46" s="293" t="s">
        <v>445</v>
      </c>
      <c r="I46" s="293" t="s">
        <v>298</v>
      </c>
      <c r="J46" s="293" t="s">
        <v>1199</v>
      </c>
      <c r="K46" s="287" t="s">
        <v>193</v>
      </c>
      <c r="L46" s="300" t="s">
        <v>608</v>
      </c>
      <c r="M46" s="293" t="s">
        <v>15118</v>
      </c>
    </row>
    <row r="47" spans="1:13" ht="105">
      <c r="A47" s="293" t="str">
        <f t="shared" si="3"/>
        <v>InstructionsA50</v>
      </c>
      <c r="B47" s="293" t="s">
        <v>542</v>
      </c>
      <c r="C47" s="293" t="s">
        <v>1231</v>
      </c>
      <c r="D47" s="293" t="s">
        <v>12752</v>
      </c>
      <c r="E47" s="329" t="s">
        <v>14507</v>
      </c>
      <c r="F47" s="340"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5"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5" t="s">
        <v>14622</v>
      </c>
      <c r="G49" s="293" t="s">
        <v>2504</v>
      </c>
      <c r="H49" s="293" t="s">
        <v>2505</v>
      </c>
      <c r="I49" s="293" t="s">
        <v>14929</v>
      </c>
      <c r="J49" s="293" t="s">
        <v>2506</v>
      </c>
      <c r="K49" s="287" t="s">
        <v>14991</v>
      </c>
      <c r="L49" s="300" t="s">
        <v>2507</v>
      </c>
      <c r="M49" s="293" t="s">
        <v>2508</v>
      </c>
    </row>
    <row r="50" spans="1:13" ht="156.75">
      <c r="A50" s="293" t="str">
        <f t="shared" si="4"/>
        <v>InstructionsA53</v>
      </c>
      <c r="B50" s="293" t="s">
        <v>542</v>
      </c>
      <c r="C50" s="293" t="s">
        <v>1234</v>
      </c>
      <c r="D50" s="293" t="s">
        <v>12751</v>
      </c>
      <c r="E50" s="329" t="s">
        <v>13650</v>
      </c>
      <c r="F50" s="340"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5"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5"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5"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5"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6"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6"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6" t="s">
        <v>14630</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14514</v>
      </c>
      <c r="F58" s="345"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5"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5" t="s">
        <v>14632</v>
      </c>
      <c r="G60" s="293" t="s">
        <v>14806</v>
      </c>
      <c r="H60" s="293" t="s">
        <v>14876</v>
      </c>
      <c r="I60" s="293" t="s">
        <v>15438</v>
      </c>
      <c r="J60" s="293" t="s">
        <v>13806</v>
      </c>
      <c r="K60" s="287" t="s">
        <v>14994</v>
      </c>
      <c r="L60" s="300" t="s">
        <v>15055</v>
      </c>
      <c r="M60" s="293" t="s">
        <v>15122</v>
      </c>
    </row>
    <row r="61" spans="1:13" ht="213.75">
      <c r="A61" s="293" t="str">
        <f t="shared" si="4"/>
        <v>InstructionsA64</v>
      </c>
      <c r="B61" s="293" t="s">
        <v>542</v>
      </c>
      <c r="C61" s="293" t="s">
        <v>1244</v>
      </c>
      <c r="D61" s="293" t="s">
        <v>13492</v>
      </c>
      <c r="E61" s="293" t="s">
        <v>14517</v>
      </c>
      <c r="F61" s="345" t="s">
        <v>14633</v>
      </c>
      <c r="G61" s="293" t="s">
        <v>14807</v>
      </c>
      <c r="H61" s="293" t="s">
        <v>14877</v>
      </c>
      <c r="I61" s="293" t="s">
        <v>15439</v>
      </c>
      <c r="J61" s="293" t="s">
        <v>13807</v>
      </c>
      <c r="K61" s="287" t="s">
        <v>14995</v>
      </c>
      <c r="L61" s="300" t="s">
        <v>15056</v>
      </c>
      <c r="M61" s="293" t="s">
        <v>15123</v>
      </c>
    </row>
    <row r="62" spans="1:13" ht="128.25">
      <c r="A62" s="293" t="str">
        <f t="shared" si="4"/>
        <v>InstructionsA65</v>
      </c>
      <c r="B62" s="293" t="s">
        <v>542</v>
      </c>
      <c r="C62" s="293" t="s">
        <v>654</v>
      </c>
      <c r="D62" s="293" t="s">
        <v>12733</v>
      </c>
      <c r="E62" s="293" t="s">
        <v>14518</v>
      </c>
      <c r="F62" s="340" t="s">
        <v>14634</v>
      </c>
      <c r="G62" s="302" t="s">
        <v>14808</v>
      </c>
      <c r="H62" s="302" t="s">
        <v>14878</v>
      </c>
      <c r="I62" s="302" t="s">
        <v>14932</v>
      </c>
      <c r="J62" s="302" t="s">
        <v>15289</v>
      </c>
      <c r="K62" s="303" t="s">
        <v>14996</v>
      </c>
      <c r="L62" s="304" t="s">
        <v>15057</v>
      </c>
      <c r="M62" s="302" t="s">
        <v>15124</v>
      </c>
    </row>
    <row r="63" spans="1:13" ht="57">
      <c r="A63" s="293" t="str">
        <f t="shared" si="4"/>
        <v>InstructionsA66</v>
      </c>
      <c r="B63" s="293" t="s">
        <v>542</v>
      </c>
      <c r="C63" s="293" t="s">
        <v>655</v>
      </c>
      <c r="D63" s="293" t="s">
        <v>656</v>
      </c>
      <c r="E63" s="293" t="s">
        <v>15386</v>
      </c>
      <c r="F63" s="345"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5" t="s">
        <v>14636</v>
      </c>
      <c r="G64" s="293" t="s">
        <v>14809</v>
      </c>
      <c r="H64" s="173" t="s">
        <v>14879</v>
      </c>
      <c r="I64" s="293" t="s">
        <v>14933</v>
      </c>
      <c r="J64" s="293" t="s">
        <v>1386</v>
      </c>
      <c r="K64" s="287" t="s">
        <v>14997</v>
      </c>
      <c r="L64" s="300" t="s">
        <v>15058</v>
      </c>
      <c r="M64" s="293" t="s">
        <v>15126</v>
      </c>
    </row>
    <row r="65" spans="1:15" ht="42.75">
      <c r="A65" s="293" t="str">
        <f t="shared" si="4"/>
        <v>InstructionsA68</v>
      </c>
      <c r="B65" s="293" t="s">
        <v>542</v>
      </c>
      <c r="C65" s="293" t="s">
        <v>2631</v>
      </c>
      <c r="D65" s="293" t="s">
        <v>939</v>
      </c>
      <c r="E65" s="288" t="s">
        <v>13652</v>
      </c>
      <c r="F65" s="345" t="s">
        <v>14637</v>
      </c>
      <c r="G65" s="293" t="s">
        <v>1049</v>
      </c>
      <c r="H65" s="173" t="s">
        <v>344</v>
      </c>
      <c r="I65" s="293" t="s">
        <v>1195</v>
      </c>
      <c r="J65" s="293" t="s">
        <v>1196</v>
      </c>
      <c r="K65" s="287"/>
      <c r="L65" s="300" t="s">
        <v>1279</v>
      </c>
      <c r="M65" s="293" t="s">
        <v>15127</v>
      </c>
    </row>
    <row r="66" spans="1:15" ht="356.25">
      <c r="A66" s="293" t="str">
        <f t="shared" si="4"/>
        <v>InstructionsA69</v>
      </c>
      <c r="B66" s="293" t="s">
        <v>542</v>
      </c>
      <c r="C66" s="293" t="s">
        <v>661</v>
      </c>
      <c r="D66" s="293" t="s">
        <v>13496</v>
      </c>
      <c r="E66" s="328" t="s">
        <v>13653</v>
      </c>
      <c r="F66" s="345" t="s">
        <v>14638</v>
      </c>
      <c r="G66" s="260" t="s">
        <v>13839</v>
      </c>
      <c r="H66" s="173" t="s">
        <v>13777</v>
      </c>
      <c r="I66" s="293" t="s">
        <v>14934</v>
      </c>
      <c r="J66" s="293" t="s">
        <v>13808</v>
      </c>
      <c r="K66" s="287" t="s">
        <v>13622</v>
      </c>
      <c r="L66" s="300" t="s">
        <v>13785</v>
      </c>
      <c r="M66" s="293" t="s">
        <v>13769</v>
      </c>
    </row>
    <row r="67" spans="1:15" ht="185.25">
      <c r="A67" s="293" t="str">
        <f t="shared" si="4"/>
        <v>InstructionsA70</v>
      </c>
      <c r="B67" s="293" t="s">
        <v>542</v>
      </c>
      <c r="C67" s="293" t="s">
        <v>2632</v>
      </c>
      <c r="D67" s="293" t="s">
        <v>13493</v>
      </c>
      <c r="E67" s="328" t="s">
        <v>14520</v>
      </c>
      <c r="F67" s="345" t="s">
        <v>14639</v>
      </c>
      <c r="G67" s="293" t="s">
        <v>14810</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14521</v>
      </c>
      <c r="F68" s="345" t="s">
        <v>14640</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14522</v>
      </c>
      <c r="F69" s="345"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5"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5"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5"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5"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5"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5"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5"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5"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5"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5"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5"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5"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5" t="s">
        <v>14653</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5"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5"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5"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5"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5"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5"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5"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5"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5"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5"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5"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5" t="s">
        <v>14662</v>
      </c>
      <c r="G94" s="293" t="s">
        <v>14814</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5"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5"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5"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5"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5"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5"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5"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5"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5"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5"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5" t="s">
        <v>15483</v>
      </c>
      <c r="G105" s="293" t="s">
        <v>15318</v>
      </c>
      <c r="H105" s="293" t="s">
        <v>15320</v>
      </c>
      <c r="I105" s="293" t="s">
        <v>15322</v>
      </c>
      <c r="J105" s="293" t="s">
        <v>15319</v>
      </c>
      <c r="K105" s="287" t="s">
        <v>15321</v>
      </c>
      <c r="L105" s="300" t="s">
        <v>15323</v>
      </c>
      <c r="M105" s="293" t="s">
        <v>15324</v>
      </c>
    </row>
    <row r="106" spans="1:14" ht="191.25">
      <c r="A106" s="293" t="str">
        <f t="shared" ref="A106:A137" si="9">B106&amp;C106</f>
        <v>DefinitionsC6</v>
      </c>
      <c r="B106" s="293" t="s">
        <v>971</v>
      </c>
      <c r="C106" s="293" t="s">
        <v>996</v>
      </c>
      <c r="D106" s="295" t="s">
        <v>1145</v>
      </c>
      <c r="E106" s="327" t="s">
        <v>13671</v>
      </c>
      <c r="F106" s="346" t="s">
        <v>14673</v>
      </c>
      <c r="G106" s="295" t="s">
        <v>14816</v>
      </c>
      <c r="H106" s="295" t="s">
        <v>14881</v>
      </c>
      <c r="I106" s="295" t="s">
        <v>14936</v>
      </c>
      <c r="J106" s="295" t="s">
        <v>1388</v>
      </c>
      <c r="K106" s="289" t="s">
        <v>14999</v>
      </c>
      <c r="L106" s="301" t="s">
        <v>15060</v>
      </c>
      <c r="M106" s="295" t="s">
        <v>15136</v>
      </c>
    </row>
    <row r="107" spans="1:14" ht="156.75">
      <c r="A107" s="293" t="str">
        <f t="shared" si="9"/>
        <v>DefinitionsC7</v>
      </c>
      <c r="B107" s="293" t="s">
        <v>971</v>
      </c>
      <c r="C107" s="293" t="s">
        <v>997</v>
      </c>
      <c r="D107" s="293" t="s">
        <v>1028</v>
      </c>
      <c r="E107" s="257" t="s">
        <v>13672</v>
      </c>
      <c r="F107" s="345" t="s">
        <v>15484</v>
      </c>
      <c r="G107" s="293" t="s">
        <v>375</v>
      </c>
      <c r="H107" s="293" t="s">
        <v>14882</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5"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5"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5" t="s">
        <v>14676</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5" t="s">
        <v>14677</v>
      </c>
      <c r="G111" s="293" t="s">
        <v>14818</v>
      </c>
      <c r="H111" s="293" t="s">
        <v>14884</v>
      </c>
      <c r="I111" s="293" t="s">
        <v>14938</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5"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5"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5"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5" t="s">
        <v>14680</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5" t="s">
        <v>14681</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14525</v>
      </c>
      <c r="F117" s="345"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5"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8"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8"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8" t="s">
        <v>14686</v>
      </c>
      <c r="G121" s="293" t="s">
        <v>14822</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8"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5" t="s">
        <v>14688</v>
      </c>
      <c r="G123" s="293" t="s">
        <v>14823</v>
      </c>
      <c r="H123" s="293" t="s">
        <v>13781</v>
      </c>
      <c r="I123" s="293" t="s">
        <v>13828</v>
      </c>
      <c r="J123" s="293" t="s">
        <v>13816</v>
      </c>
      <c r="K123" s="287" t="s">
        <v>13629</v>
      </c>
      <c r="L123" s="300" t="s">
        <v>15064</v>
      </c>
      <c r="M123" s="293" t="s">
        <v>13775</v>
      </c>
    </row>
    <row r="124" spans="1:13" ht="313.5">
      <c r="A124" s="293" t="str">
        <f t="shared" si="9"/>
        <v>DefinitionsC24</v>
      </c>
      <c r="B124" s="293" t="s">
        <v>971</v>
      </c>
      <c r="C124" s="293" t="s">
        <v>585</v>
      </c>
      <c r="D124" s="293" t="s">
        <v>15440</v>
      </c>
      <c r="E124" s="328" t="s">
        <v>13683</v>
      </c>
      <c r="F124" s="345" t="s">
        <v>15463</v>
      </c>
      <c r="G124" s="293" t="s">
        <v>14824</v>
      </c>
      <c r="H124" s="293" t="s">
        <v>15464</v>
      </c>
      <c r="I124" s="293" t="s">
        <v>13829</v>
      </c>
      <c r="J124" s="293" t="s">
        <v>15465</v>
      </c>
      <c r="K124" s="287" t="s">
        <v>15466</v>
      </c>
      <c r="L124" s="300" t="s">
        <v>15467</v>
      </c>
      <c r="M124" s="293" t="s">
        <v>15468</v>
      </c>
    </row>
    <row r="125" spans="1:13" ht="285">
      <c r="A125" s="293" t="str">
        <f t="shared" si="9"/>
        <v>DefinitionsC25</v>
      </c>
      <c r="B125" s="293" t="s">
        <v>971</v>
      </c>
      <c r="C125" s="293" t="s">
        <v>586</v>
      </c>
      <c r="D125" s="293" t="s">
        <v>13500</v>
      </c>
      <c r="E125" s="328" t="s">
        <v>14527</v>
      </c>
      <c r="F125" s="345"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5"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5"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5"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5"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5" t="s">
        <v>14694</v>
      </c>
      <c r="G130" s="293" t="s">
        <v>14827</v>
      </c>
      <c r="H130" s="173" t="s">
        <v>13605</v>
      </c>
      <c r="I130" s="293" t="s">
        <v>14944</v>
      </c>
      <c r="J130" s="293" t="s">
        <v>13820</v>
      </c>
      <c r="K130" s="287" t="s">
        <v>13606</v>
      </c>
      <c r="L130" s="300" t="s">
        <v>13607</v>
      </c>
      <c r="M130" s="293" t="s">
        <v>13598</v>
      </c>
    </row>
    <row r="131" spans="1:13" ht="202.5">
      <c r="A131" s="293" t="str">
        <f t="shared" si="9"/>
        <v>DefinitionsC31</v>
      </c>
      <c r="B131" s="293" t="s">
        <v>971</v>
      </c>
      <c r="C131" s="293" t="s">
        <v>14387</v>
      </c>
      <c r="D131" s="293" t="s">
        <v>13509</v>
      </c>
      <c r="E131" s="328" t="s">
        <v>13688</v>
      </c>
      <c r="F131" s="345"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5"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5"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5"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5"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5" t="s">
        <v>14696</v>
      </c>
      <c r="G136" s="293" t="s">
        <v>893</v>
      </c>
      <c r="H136" s="293" t="s">
        <v>377</v>
      </c>
      <c r="I136" s="293" t="s">
        <v>219</v>
      </c>
      <c r="J136" s="293" t="s">
        <v>1375</v>
      </c>
      <c r="K136" s="287" t="s">
        <v>334</v>
      </c>
      <c r="L136" s="300" t="s">
        <v>454</v>
      </c>
      <c r="M136" s="293" t="s">
        <v>15144</v>
      </c>
    </row>
    <row r="137" spans="1:13" ht="60">
      <c r="A137" s="293" t="str">
        <f t="shared" si="9"/>
        <v>DeclarationB6</v>
      </c>
      <c r="B137" s="293" t="s">
        <v>1014</v>
      </c>
      <c r="C137" s="293" t="s">
        <v>975</v>
      </c>
      <c r="D137" s="293" t="s">
        <v>12719</v>
      </c>
      <c r="E137" s="293" t="s">
        <v>14529</v>
      </c>
      <c r="F137" s="340"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5"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5"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5"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5"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5"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5"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5"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5"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5"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5"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5"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5"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5"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5"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5"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5"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5"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4"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5"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5" t="s">
        <v>14714</v>
      </c>
      <c r="G157" s="293" t="s">
        <v>14401</v>
      </c>
      <c r="H157" s="293" t="s">
        <v>14402</v>
      </c>
      <c r="I157" s="293" t="s">
        <v>14403</v>
      </c>
      <c r="J157" s="293" t="s">
        <v>14404</v>
      </c>
      <c r="K157" s="287" t="s">
        <v>14405</v>
      </c>
      <c r="L157" s="300" t="s">
        <v>14406</v>
      </c>
      <c r="M157" s="293" t="s">
        <v>14407</v>
      </c>
    </row>
    <row r="158" spans="1:13" ht="30">
      <c r="A158" s="293" t="str">
        <f t="shared" si="10"/>
        <v>DeclarationB25</v>
      </c>
      <c r="B158" s="293" t="s">
        <v>1014</v>
      </c>
      <c r="C158" s="293" t="s">
        <v>486</v>
      </c>
      <c r="D158" s="295" t="s">
        <v>12744</v>
      </c>
      <c r="E158" s="258" t="s">
        <v>13707</v>
      </c>
      <c r="F158" s="340"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0"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6"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6"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6" t="s">
        <v>14718</v>
      </c>
      <c r="G162" s="295" t="s">
        <v>14273</v>
      </c>
      <c r="H162" s="295" t="s">
        <v>14274</v>
      </c>
      <c r="I162" s="295" t="s">
        <v>14275</v>
      </c>
      <c r="J162" s="295" t="s">
        <v>14276</v>
      </c>
      <c r="K162" s="289" t="s">
        <v>14277</v>
      </c>
      <c r="L162" s="301" t="s">
        <v>14278</v>
      </c>
      <c r="M162" s="295" t="s">
        <v>14279</v>
      </c>
    </row>
    <row r="163" spans="1:13" ht="30">
      <c r="A163" s="293" t="str">
        <f t="shared" si="10"/>
        <v>DeclarationB55</v>
      </c>
      <c r="B163" s="293" t="s">
        <v>1014</v>
      </c>
      <c r="C163" s="293" t="s">
        <v>491</v>
      </c>
      <c r="D163" s="295" t="s">
        <v>14281</v>
      </c>
      <c r="E163" s="329" t="s">
        <v>14531</v>
      </c>
      <c r="F163" s="343" t="s">
        <v>14282</v>
      </c>
      <c r="G163" s="290" t="s">
        <v>14283</v>
      </c>
      <c r="H163" s="290" t="s">
        <v>14284</v>
      </c>
      <c r="I163" s="290" t="s">
        <v>14285</v>
      </c>
      <c r="J163" s="290" t="s">
        <v>14286</v>
      </c>
      <c r="K163" s="303" t="s">
        <v>14287</v>
      </c>
      <c r="L163" s="304" t="s">
        <v>14288</v>
      </c>
      <c r="M163" s="290" t="s">
        <v>14289</v>
      </c>
    </row>
    <row r="164" spans="1:13" ht="38.25">
      <c r="A164" s="293" t="str">
        <f t="shared" si="10"/>
        <v>DeclarationB61</v>
      </c>
      <c r="B164" s="293" t="s">
        <v>1014</v>
      </c>
      <c r="C164" s="293" t="s">
        <v>1022</v>
      </c>
      <c r="D164" s="295" t="s">
        <v>14290</v>
      </c>
      <c r="E164" s="327" t="s">
        <v>14291</v>
      </c>
      <c r="F164" s="346"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6"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5"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5"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5"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6" t="s">
        <v>15487</v>
      </c>
      <c r="G169" s="295" t="s">
        <v>14311</v>
      </c>
      <c r="H169" s="295" t="s">
        <v>14312</v>
      </c>
      <c r="I169" s="295" t="s">
        <v>14313</v>
      </c>
      <c r="J169" s="295" t="s">
        <v>14314</v>
      </c>
      <c r="K169" s="289" t="s">
        <v>14315</v>
      </c>
      <c r="L169" s="301" t="s">
        <v>14316</v>
      </c>
      <c r="M169" s="295" t="s">
        <v>14317</v>
      </c>
    </row>
    <row r="170" spans="1:13" ht="38.25">
      <c r="A170" s="293" t="str">
        <f t="shared" ref="A170:A205" si="12">B170&amp;C170</f>
        <v>DeclarationB81</v>
      </c>
      <c r="B170" s="293" t="s">
        <v>1014</v>
      </c>
      <c r="C170" s="293" t="s">
        <v>493</v>
      </c>
      <c r="D170" s="295" t="s">
        <v>15327</v>
      </c>
      <c r="E170" s="295" t="s">
        <v>14534</v>
      </c>
      <c r="F170" s="346"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0"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5" t="s">
        <v>15489</v>
      </c>
      <c r="G172" s="293" t="s">
        <v>14329</v>
      </c>
      <c r="H172" s="293" t="s">
        <v>14330</v>
      </c>
      <c r="I172" s="293" t="s">
        <v>14331</v>
      </c>
      <c r="J172" s="293" t="s">
        <v>14332</v>
      </c>
      <c r="K172" s="287" t="s">
        <v>14333</v>
      </c>
      <c r="L172" s="300" t="s">
        <v>14334</v>
      </c>
      <c r="M172" s="293" t="s">
        <v>14335</v>
      </c>
    </row>
    <row r="173" spans="1:13" ht="42.75">
      <c r="A173" s="293" t="str">
        <f t="shared" si="12"/>
        <v>DeclarationB87</v>
      </c>
      <c r="B173" s="293" t="s">
        <v>1014</v>
      </c>
      <c r="C173" s="293" t="s">
        <v>14269</v>
      </c>
      <c r="D173" s="293" t="s">
        <v>14336</v>
      </c>
      <c r="E173" s="328" t="s">
        <v>14337</v>
      </c>
      <c r="F173" s="345"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2" t="s">
        <v>15443</v>
      </c>
      <c r="F174" s="340" t="s">
        <v>15490</v>
      </c>
      <c r="G174" s="332" t="s">
        <v>15444</v>
      </c>
      <c r="H174" s="332" t="s">
        <v>15445</v>
      </c>
      <c r="I174" s="332" t="s">
        <v>15446</v>
      </c>
      <c r="J174" s="332" t="s">
        <v>15447</v>
      </c>
      <c r="K174" s="332" t="s">
        <v>15448</v>
      </c>
      <c r="L174" s="332" t="s">
        <v>15449</v>
      </c>
      <c r="M174" s="332" t="s">
        <v>15450</v>
      </c>
    </row>
    <row r="175" spans="1:13" ht="28.5">
      <c r="A175" s="293" t="str">
        <f t="shared" si="12"/>
        <v>DeclarationD25</v>
      </c>
      <c r="B175" s="293" t="s">
        <v>1014</v>
      </c>
      <c r="C175" s="293" t="s">
        <v>533</v>
      </c>
      <c r="D175" s="293" t="s">
        <v>859</v>
      </c>
      <c r="E175" s="257" t="s">
        <v>885</v>
      </c>
      <c r="F175" s="345"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5"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5"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5"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5"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5"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5"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5"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5"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5"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5"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5"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5"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5"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5" t="s">
        <v>14730</v>
      </c>
      <c r="G189" s="293" t="s">
        <v>1302</v>
      </c>
      <c r="H189" s="293" t="s">
        <v>1303</v>
      </c>
      <c r="I189" s="293" t="s">
        <v>239</v>
      </c>
      <c r="J189" s="293" t="s">
        <v>1304</v>
      </c>
      <c r="K189" s="287" t="s">
        <v>1305</v>
      </c>
      <c r="L189" s="300" t="s">
        <v>1305</v>
      </c>
      <c r="M189" s="293" t="s">
        <v>15175</v>
      </c>
    </row>
    <row r="190" spans="1:13" ht="28.5">
      <c r="A190" s="293" t="str">
        <f t="shared" si="12"/>
        <v>DeclarationAth</v>
      </c>
      <c r="B190" s="293" t="s">
        <v>1014</v>
      </c>
      <c r="C190" s="293" t="s">
        <v>1306</v>
      </c>
      <c r="D190" s="293" t="s">
        <v>856</v>
      </c>
      <c r="E190" s="257" t="s">
        <v>13713</v>
      </c>
      <c r="F190" s="345"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5"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5"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5"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39">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1"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1"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1"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1"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5"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2"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2"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2"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7"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7"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7"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2"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0"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5"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0"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5"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5"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5"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0"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5"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5"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5"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5"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5"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5"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0"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0"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5"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5"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5"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5" t="s">
        <v>14754</v>
      </c>
      <c r="G225" s="293" t="s">
        <v>1160</v>
      </c>
      <c r="H225" s="293" t="s">
        <v>1161</v>
      </c>
      <c r="I225" s="293" t="s">
        <v>250</v>
      </c>
      <c r="J225" s="206" t="s">
        <v>13046</v>
      </c>
      <c r="K225" s="287" t="s">
        <v>113</v>
      </c>
      <c r="L225" s="319" t="s">
        <v>637</v>
      </c>
      <c r="M225" s="293" t="s">
        <v>15199</v>
      </c>
    </row>
    <row r="226" spans="1:13" ht="28.5">
      <c r="A226" s="293" t="str">
        <f t="shared" si="16"/>
        <v>Smelter ListK4</v>
      </c>
      <c r="B226" s="293" t="s">
        <v>1262</v>
      </c>
      <c r="C226" s="293" t="s">
        <v>1315</v>
      </c>
      <c r="D226" s="293" t="s">
        <v>483</v>
      </c>
      <c r="E226" s="257" t="s">
        <v>13730</v>
      </c>
      <c r="F226" s="345"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5"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5"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5"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5"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5" t="s">
        <v>14763</v>
      </c>
      <c r="G231" s="293" t="s">
        <v>576</v>
      </c>
      <c r="H231" s="293" t="s">
        <v>14905</v>
      </c>
      <c r="I231" s="293" t="s">
        <v>256</v>
      </c>
      <c r="J231" s="206" t="s">
        <v>1377</v>
      </c>
      <c r="K231" s="287" t="s">
        <v>117</v>
      </c>
      <c r="L231" s="300" t="s">
        <v>192</v>
      </c>
      <c r="M231" s="293" t="s">
        <v>15207</v>
      </c>
    </row>
    <row r="232" spans="1:13" ht="28.5">
      <c r="A232" s="293" t="str">
        <f t="shared" si="16"/>
        <v>Smelter ListQ4</v>
      </c>
      <c r="B232" s="293" t="s">
        <v>1262</v>
      </c>
      <c r="C232" s="293" t="s">
        <v>510</v>
      </c>
      <c r="D232" s="293" t="s">
        <v>858</v>
      </c>
      <c r="E232" s="257" t="s">
        <v>886</v>
      </c>
      <c r="F232" s="345"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5"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5"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0"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5" t="s">
        <v>14666</v>
      </c>
      <c r="G236" s="293" t="s">
        <v>605</v>
      </c>
      <c r="H236" s="293" t="s">
        <v>391</v>
      </c>
      <c r="I236" s="293" t="s">
        <v>257</v>
      </c>
      <c r="J236" s="206" t="s">
        <v>1191</v>
      </c>
      <c r="K236" s="287" t="s">
        <v>118</v>
      </c>
      <c r="L236" s="300" t="s">
        <v>73</v>
      </c>
      <c r="M236" s="293" t="s">
        <v>15210</v>
      </c>
    </row>
    <row r="237" spans="1:13" ht="28.5">
      <c r="A237" s="293" t="str">
        <f t="shared" si="16"/>
        <v>Smelter ListG4</v>
      </c>
      <c r="B237" s="293" t="s">
        <v>1262</v>
      </c>
      <c r="C237" s="293" t="s">
        <v>1311</v>
      </c>
      <c r="D237" s="293" t="s">
        <v>479</v>
      </c>
      <c r="E237" s="293" t="s">
        <v>13725</v>
      </c>
      <c r="F237" s="345"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5"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5"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5"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5"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5"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5"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5"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5"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5"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5"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5"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5"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5"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5"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5" t="s">
        <v>1939</v>
      </c>
      <c r="G252" s="293" t="s">
        <v>1940</v>
      </c>
      <c r="H252" s="293" t="s">
        <v>1941</v>
      </c>
      <c r="I252" s="293" t="s">
        <v>1942</v>
      </c>
      <c r="J252" s="293" t="s">
        <v>1943</v>
      </c>
      <c r="K252" s="296" t="s">
        <v>1944</v>
      </c>
      <c r="L252" s="308" t="s">
        <v>1945</v>
      </c>
      <c r="M252" s="293" t="s">
        <v>15218</v>
      </c>
    </row>
    <row r="253" spans="1:13" ht="42.75">
      <c r="A253" s="293" t="s">
        <v>1486</v>
      </c>
      <c r="B253" s="293" t="s">
        <v>1263</v>
      </c>
      <c r="C253" s="293" t="s">
        <v>1468</v>
      </c>
      <c r="D253" s="293" t="s">
        <v>1556</v>
      </c>
      <c r="E253" s="293" t="s">
        <v>14555</v>
      </c>
      <c r="F253" s="345"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5"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5" t="s">
        <v>1960</v>
      </c>
      <c r="G255" s="293" t="s">
        <v>1961</v>
      </c>
      <c r="H255" s="293" t="s">
        <v>1962</v>
      </c>
      <c r="I255" s="293" t="s">
        <v>1963</v>
      </c>
      <c r="J255" s="293" t="s">
        <v>1964</v>
      </c>
      <c r="K255" s="296" t="s">
        <v>1965</v>
      </c>
      <c r="L255" s="308" t="s">
        <v>1966</v>
      </c>
      <c r="M255" s="293" t="s">
        <v>15221</v>
      </c>
    </row>
    <row r="256" spans="1:13" ht="42.75">
      <c r="A256" s="293" t="s">
        <v>1540</v>
      </c>
      <c r="B256" s="293" t="s">
        <v>1263</v>
      </c>
      <c r="C256" s="293" t="s">
        <v>1471</v>
      </c>
      <c r="D256" s="293" t="s">
        <v>2593</v>
      </c>
      <c r="E256" s="293" t="s">
        <v>14558</v>
      </c>
      <c r="F256" s="345"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5"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5" t="s">
        <v>1974</v>
      </c>
      <c r="G258" s="293" t="s">
        <v>1975</v>
      </c>
      <c r="H258" s="293" t="s">
        <v>1976</v>
      </c>
      <c r="I258" s="293" t="s">
        <v>1977</v>
      </c>
      <c r="J258" s="293" t="s">
        <v>1978</v>
      </c>
      <c r="K258" s="296" t="s">
        <v>1979</v>
      </c>
      <c r="L258" s="308" t="s">
        <v>1980</v>
      </c>
      <c r="M258" s="293" t="s">
        <v>15223</v>
      </c>
    </row>
    <row r="259" spans="1:13" ht="57">
      <c r="A259" s="293" t="s">
        <v>1543</v>
      </c>
      <c r="B259" s="293" t="s">
        <v>1263</v>
      </c>
      <c r="C259" s="293" t="s">
        <v>1474</v>
      </c>
      <c r="D259" s="293" t="s">
        <v>1514</v>
      </c>
      <c r="E259" s="293" t="s">
        <v>14561</v>
      </c>
      <c r="F259" s="345" t="s">
        <v>2601</v>
      </c>
      <c r="G259" s="293" t="s">
        <v>2605</v>
      </c>
      <c r="H259" s="293" t="s">
        <v>2606</v>
      </c>
      <c r="I259" s="293" t="s">
        <v>14963</v>
      </c>
      <c r="J259" s="293" t="s">
        <v>2612</v>
      </c>
      <c r="K259" s="296" t="s">
        <v>2617</v>
      </c>
      <c r="L259" s="308" t="s">
        <v>2618</v>
      </c>
      <c r="M259" s="293" t="s">
        <v>2623</v>
      </c>
    </row>
    <row r="260" spans="1:13" ht="42.75">
      <c r="A260" s="293" t="s">
        <v>1544</v>
      </c>
      <c r="B260" s="293" t="s">
        <v>1263</v>
      </c>
      <c r="C260" s="293" t="s">
        <v>1475</v>
      </c>
      <c r="D260" s="293" t="s">
        <v>1487</v>
      </c>
      <c r="E260" s="293" t="s">
        <v>14562</v>
      </c>
      <c r="F260" s="345"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5"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5"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5"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5"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5"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5"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5"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5"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5"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5"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5"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5"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5"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5"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5"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5"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5"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6"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5"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5"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5"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5"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5"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5"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5"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5"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5"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5"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5"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5"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5"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5"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5" t="s">
        <v>15495</v>
      </c>
      <c r="G293" s="293" t="s">
        <v>14849</v>
      </c>
      <c r="H293" s="293" t="s">
        <v>14906</v>
      </c>
      <c r="I293" s="293" t="s">
        <v>14964</v>
      </c>
      <c r="J293" s="293" t="s">
        <v>15306</v>
      </c>
      <c r="K293" s="293" t="s">
        <v>15022</v>
      </c>
      <c r="L293" s="293" t="s">
        <v>15076</v>
      </c>
      <c r="M293" s="293" t="s">
        <v>15253</v>
      </c>
    </row>
    <row r="294" spans="1:13" ht="71.25">
      <c r="A294" s="293" t="s">
        <v>14479</v>
      </c>
      <c r="B294" s="293" t="s">
        <v>1263</v>
      </c>
      <c r="C294" s="293" t="s">
        <v>1535</v>
      </c>
      <c r="D294" s="293" t="s">
        <v>15309</v>
      </c>
      <c r="E294" s="293" t="s">
        <v>14576</v>
      </c>
      <c r="F294" s="345"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5"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5"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5"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5"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5" t="s">
        <v>15500</v>
      </c>
      <c r="G299" s="293" t="s">
        <v>2180</v>
      </c>
      <c r="H299" s="293" t="s">
        <v>2181</v>
      </c>
      <c r="I299" s="293" t="s">
        <v>2182</v>
      </c>
      <c r="J299" s="293" t="s">
        <v>2183</v>
      </c>
      <c r="K299" s="296" t="s">
        <v>2184</v>
      </c>
      <c r="L299" s="308" t="s">
        <v>2185</v>
      </c>
      <c r="M299" s="293" t="s">
        <v>15255</v>
      </c>
    </row>
    <row r="300" spans="1:13" ht="57">
      <c r="A300" s="293" t="s">
        <v>14460</v>
      </c>
      <c r="B300" s="293" t="s">
        <v>1263</v>
      </c>
      <c r="C300" s="293" t="s">
        <v>1539</v>
      </c>
      <c r="D300" s="293" t="s">
        <v>15358</v>
      </c>
      <c r="E300" s="257" t="s">
        <v>15359</v>
      </c>
      <c r="F300" s="345" t="s">
        <v>15360</v>
      </c>
      <c r="G300" s="293" t="s">
        <v>15361</v>
      </c>
      <c r="H300" s="293" t="s">
        <v>15362</v>
      </c>
      <c r="I300" s="293" t="s">
        <v>15363</v>
      </c>
      <c r="J300" s="293" t="s">
        <v>15364</v>
      </c>
      <c r="K300" s="296" t="s">
        <v>15365</v>
      </c>
      <c r="L300" s="308" t="s">
        <v>15366</v>
      </c>
      <c r="M300" s="293" t="s">
        <v>15367</v>
      </c>
    </row>
    <row r="301" spans="1:13" ht="57">
      <c r="A301" s="293" t="s">
        <v>14461</v>
      </c>
      <c r="B301" s="293" t="s">
        <v>1263</v>
      </c>
      <c r="C301" s="293" t="s">
        <v>14472</v>
      </c>
      <c r="D301" s="293" t="s">
        <v>15368</v>
      </c>
      <c r="E301" s="257" t="s">
        <v>15369</v>
      </c>
      <c r="F301" s="345" t="s">
        <v>15501</v>
      </c>
      <c r="G301" s="293" t="s">
        <v>15370</v>
      </c>
      <c r="H301" s="293" t="s">
        <v>15371</v>
      </c>
      <c r="I301" s="293" t="s">
        <v>15372</v>
      </c>
      <c r="J301" s="293" t="s">
        <v>15373</v>
      </c>
      <c r="K301" s="296" t="s">
        <v>15374</v>
      </c>
      <c r="L301" s="308" t="s">
        <v>15375</v>
      </c>
      <c r="M301" s="293" t="s">
        <v>15376</v>
      </c>
    </row>
    <row r="302" spans="1:13" ht="57">
      <c r="A302" s="293" t="s">
        <v>14480</v>
      </c>
      <c r="B302" s="293" t="s">
        <v>1263</v>
      </c>
      <c r="C302" s="293" t="s">
        <v>1565</v>
      </c>
      <c r="D302" s="293" t="s">
        <v>15377</v>
      </c>
      <c r="E302" s="293" t="s">
        <v>15378</v>
      </c>
      <c r="F302" s="345"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5"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5"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5"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5"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5"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5"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5"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5"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5"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5"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5"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5" t="s">
        <v>14773</v>
      </c>
      <c r="G314" s="293" t="s">
        <v>579</v>
      </c>
      <c r="H314" s="293" t="s">
        <v>400</v>
      </c>
      <c r="I314" s="293" t="s">
        <v>263</v>
      </c>
      <c r="J314" s="248" t="s">
        <v>1186</v>
      </c>
      <c r="K314" s="287" t="s">
        <v>121</v>
      </c>
      <c r="L314" s="324" t="s">
        <v>76</v>
      </c>
      <c r="M314" s="248" t="s">
        <v>15264</v>
      </c>
    </row>
    <row r="315" spans="1:13" ht="28.5">
      <c r="A315" s="293" t="str">
        <f>B315&amp;C315</f>
        <v>Product ListC5</v>
      </c>
      <c r="B315" s="293" t="s">
        <v>1323</v>
      </c>
      <c r="C315" s="293" t="s">
        <v>995</v>
      </c>
      <c r="D315" s="248" t="s">
        <v>514</v>
      </c>
      <c r="E315" s="257" t="s">
        <v>13762</v>
      </c>
      <c r="F315" s="345" t="s">
        <v>14774</v>
      </c>
      <c r="G315" s="293" t="s">
        <v>580</v>
      </c>
      <c r="H315" s="293" t="s">
        <v>401</v>
      </c>
      <c r="I315" s="293" t="s">
        <v>264</v>
      </c>
      <c r="J315" s="248" t="s">
        <v>962</v>
      </c>
      <c r="K315" s="287" t="s">
        <v>122</v>
      </c>
      <c r="L315" s="324" t="s">
        <v>77</v>
      </c>
      <c r="M315" s="248" t="s">
        <v>15265</v>
      </c>
    </row>
    <row r="316" spans="1:13" ht="28.5">
      <c r="A316" s="293" t="str">
        <f>B316&amp;C316</f>
        <v>Product ListD5</v>
      </c>
      <c r="B316" s="293" t="s">
        <v>1323</v>
      </c>
      <c r="C316" s="293" t="s">
        <v>1324</v>
      </c>
      <c r="D316" s="248" t="s">
        <v>858</v>
      </c>
      <c r="F316" s="345"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5"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85.5">
      <c r="A326" s="293" t="s">
        <v>858</v>
      </c>
      <c r="D326" s="293" t="s">
        <v>304</v>
      </c>
      <c r="E326" s="257" t="s">
        <v>13767</v>
      </c>
      <c r="F326" s="333"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DEE780-EC47-41FC-861F-1BDFE6C5F8C3}">
  <ds:schemaRefs>
    <ds:schemaRef ds:uri="060324a1-f66f-4c36-a8ec-beadbf2f4219"/>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England, Sean</cp:lastModifiedBy>
  <cp:lastPrinted>2015-04-21T20:47:43Z</cp:lastPrinted>
  <dcterms:created xsi:type="dcterms:W3CDTF">2010-06-21T21:00:23Z</dcterms:created>
  <dcterms:modified xsi:type="dcterms:W3CDTF">2020-07-21T11:32:45Z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