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autoCompressPictures="0"/>
  <mc:AlternateContent xmlns:mc="http://schemas.openxmlformats.org/markup-compatibility/2006">
    <mc:Choice Requires="x15">
      <x15ac:absPath xmlns:x15ac="http://schemas.microsoft.com/office/spreadsheetml/2010/11/ac" url="S:\QA\QA Procedures\Conflict Minerals\"/>
    </mc:Choice>
  </mc:AlternateContent>
  <xr:revisionPtr revIDLastSave="0" documentId="13_ncr:1_{FC426250-1E60-49FD-8E4D-677A678308A4}"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320" yWindow="855" windowWidth="21600" windowHeight="11385"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externalReferences>
    <externalReference r:id="rId12"/>
  </externalReference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7"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C552" i="5"/>
  <c r="V552" i="5" s="1"/>
  <c r="B552" i="5"/>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B450" i="5"/>
  <c r="T450" i="5" s="1"/>
  <c r="C449" i="5"/>
  <c r="V449" i="5" s="1"/>
  <c r="B449" i="5"/>
  <c r="T449" i="5" s="1"/>
  <c r="C448" i="5"/>
  <c r="V448" i="5" s="1"/>
  <c r="B448" i="5"/>
  <c r="C447" i="5"/>
  <c r="B447" i="5"/>
  <c r="T447" i="5" s="1"/>
  <c r="C446" i="5"/>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C416" i="5"/>
  <c r="V416" i="5" s="1"/>
  <c r="R416" i="5" s="1"/>
  <c r="B416" i="5"/>
  <c r="C415" i="5"/>
  <c r="B415" i="5"/>
  <c r="T415" i="5" s="1"/>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C364" i="5"/>
  <c r="V364" i="5" s="1"/>
  <c r="I364" i="5" s="1"/>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C263" i="5"/>
  <c r="V263" i="5" s="1"/>
  <c r="R263" i="5" s="1"/>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AB410" i="5" l="1"/>
  <c r="R480" i="5"/>
  <c r="T645" i="5"/>
  <c r="T1078" i="5"/>
  <c r="T1435" i="5"/>
  <c r="T1624" i="5"/>
  <c r="AB1731" i="5"/>
  <c r="S1748" i="5"/>
  <c r="T1814" i="5"/>
  <c r="S2068" i="5"/>
  <c r="T2133" i="5"/>
  <c r="S2428" i="5"/>
  <c r="T1244" i="5"/>
  <c r="S1398" i="5"/>
  <c r="AB1401" i="5"/>
  <c r="T2060" i="5"/>
  <c r="AB2069" i="5"/>
  <c r="T2248" i="5"/>
  <c r="AB446" i="5"/>
  <c r="AB481" i="5"/>
  <c r="R528" i="5"/>
  <c r="AB552" i="5"/>
  <c r="G681" i="5"/>
  <c r="S778" i="5"/>
  <c r="AB841" i="5"/>
  <c r="AB858" i="5"/>
  <c r="T1407" i="5"/>
  <c r="AB1463" i="5"/>
  <c r="S1465" i="5"/>
  <c r="S1596" i="5"/>
  <c r="T1675" i="5"/>
  <c r="AB1757" i="5"/>
  <c r="T2163" i="5"/>
  <c r="S414" i="5"/>
  <c r="T684" i="5"/>
  <c r="S858" i="5"/>
  <c r="T391" i="5"/>
  <c r="AB450" i="5"/>
  <c r="AB630" i="5"/>
  <c r="AB674" i="5"/>
  <c r="AB720" i="5"/>
  <c r="AB1437" i="5"/>
  <c r="T250" i="5"/>
  <c r="S515" i="5"/>
  <c r="G550" i="5"/>
  <c r="T585" i="5"/>
  <c r="T788" i="5"/>
  <c r="S918" i="5"/>
  <c r="S1000" i="5"/>
  <c r="T1098" i="5"/>
  <c r="AB1624" i="5"/>
  <c r="S1770" i="5"/>
  <c r="T1781" i="5"/>
  <c r="AB1814" i="5"/>
  <c r="T2188" i="5"/>
  <c r="AB2413" i="5"/>
  <c r="F271" i="5"/>
  <c r="AB348" i="5"/>
  <c r="S597"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E1753" i="5"/>
  <c r="X1753" i="5" s="1"/>
  <c r="H1753" i="5"/>
  <c r="I764" i="5"/>
  <c r="I2158" i="5"/>
  <c r="G291" i="5"/>
  <c r="AB364" i="5"/>
  <c r="R488" i="5"/>
  <c r="G761" i="5"/>
  <c r="H1178" i="5"/>
  <c r="J1218" i="5"/>
  <c r="J1250" i="5"/>
  <c r="AB1312" i="5"/>
  <c r="F2013" i="5"/>
  <c r="V2061" i="5"/>
  <c r="E2061" i="5" s="1"/>
  <c r="X2061" i="5" s="1"/>
  <c r="AB2065" i="5"/>
  <c r="AB2152" i="5"/>
  <c r="H2474"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H1250" i="5"/>
  <c r="H1443" i="5"/>
  <c r="V2342" i="5"/>
  <c r="E2342" i="5" s="1"/>
  <c r="X2342" i="5" s="1"/>
  <c r="V281" i="5"/>
  <c r="R281" i="5" s="1"/>
  <c r="AB372" i="5"/>
  <c r="AB376" i="5"/>
  <c r="AB380" i="5"/>
  <c r="AB1058" i="5"/>
  <c r="G1551" i="5"/>
  <c r="H1882" i="5"/>
  <c r="AB2030" i="5"/>
  <c r="AB2395" i="5"/>
  <c r="I2210"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320" i="5"/>
  <c r="S320" i="5"/>
  <c r="V330" i="5"/>
  <c r="G330" i="5" s="1"/>
  <c r="T895" i="5"/>
  <c r="AB895" i="5"/>
  <c r="S895" i="5"/>
  <c r="AB1863" i="5"/>
  <c r="T1863" i="5"/>
  <c r="S1863" i="5"/>
  <c r="F309" i="5"/>
  <c r="E309" i="5"/>
  <c r="X309" i="5" s="1"/>
  <c r="F357" i="5"/>
  <c r="E357" i="5"/>
  <c r="X357" i="5" s="1"/>
  <c r="G399" i="5"/>
  <c r="V463" i="5"/>
  <c r="R463" i="5" s="1"/>
  <c r="G586" i="5"/>
  <c r="F586" i="5"/>
  <c r="I714" i="5"/>
  <c r="J714" i="5"/>
  <c r="T738" i="5"/>
  <c r="S738" i="5"/>
  <c r="E452" i="5"/>
  <c r="X452" i="5" s="1"/>
  <c r="H452" i="5"/>
  <c r="F452" i="5"/>
  <c r="S1497" i="5"/>
  <c r="T1497" i="5"/>
  <c r="V262" i="5"/>
  <c r="AB262" i="5"/>
  <c r="S298" i="5"/>
  <c r="AB298" i="5"/>
  <c r="T298" i="5"/>
  <c r="T328" i="5"/>
  <c r="S328" i="5"/>
  <c r="T354" i="5"/>
  <c r="S354" i="5"/>
  <c r="E451" i="5"/>
  <c r="X451" i="5" s="1"/>
  <c r="F451" i="5"/>
  <c r="R453" i="5"/>
  <c r="J453" i="5"/>
  <c r="H453" i="5"/>
  <c r="F453" i="5"/>
  <c r="S581" i="5"/>
  <c r="T581" i="5"/>
  <c r="T1447" i="5"/>
  <c r="AB1447" i="5"/>
  <c r="S1447" i="5"/>
  <c r="G275" i="5"/>
  <c r="I275" i="5"/>
  <c r="F275" i="5"/>
  <c r="V306" i="5"/>
  <c r="G306" i="5" s="1"/>
  <c r="I361" i="5"/>
  <c r="J361" i="5"/>
  <c r="H361" i="5"/>
  <c r="F361" i="5"/>
  <c r="V391" i="5"/>
  <c r="G391" i="5" s="1"/>
  <c r="G451" i="5"/>
  <c r="I479" i="5"/>
  <c r="H479" i="5"/>
  <c r="E479" i="5"/>
  <c r="X479" i="5" s="1"/>
  <c r="T519" i="5"/>
  <c r="S519" i="5"/>
  <c r="V574" i="5"/>
  <c r="F574" i="5" s="1"/>
  <c r="T641" i="5"/>
  <c r="S641" i="5"/>
  <c r="V314" i="5"/>
  <c r="G314" i="5" s="1"/>
  <c r="T351" i="5"/>
  <c r="S351" i="5"/>
  <c r="T454" i="5"/>
  <c r="S454" i="5"/>
  <c r="E468" i="5"/>
  <c r="X468" i="5" s="1"/>
  <c r="F468" i="5"/>
  <c r="T483" i="5"/>
  <c r="S483" i="5"/>
  <c r="V562" i="5"/>
  <c r="R562" i="5" s="1"/>
  <c r="I1848" i="5"/>
  <c r="H1848" i="5"/>
  <c r="I461" i="5"/>
  <c r="F461" i="5"/>
  <c r="J552" i="5"/>
  <c r="H552" i="5"/>
  <c r="R299" i="5"/>
  <c r="J299" i="5"/>
  <c r="T312" i="5"/>
  <c r="S312" i="5"/>
  <c r="T379" i="5"/>
  <c r="S379" i="5"/>
  <c r="E392" i="5"/>
  <c r="X392" i="5" s="1"/>
  <c r="I392" i="5"/>
  <c r="H392" i="5"/>
  <c r="S286" i="5"/>
  <c r="T286" i="5"/>
  <c r="F372" i="5"/>
  <c r="I372" i="5"/>
  <c r="H372" i="5"/>
  <c r="F392" i="5"/>
  <c r="R401" i="5"/>
  <c r="J401" i="5"/>
  <c r="F455" i="5"/>
  <c r="G455" i="5"/>
  <c r="I507" i="5"/>
  <c r="F507" i="5"/>
  <c r="T601" i="5"/>
  <c r="S601"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J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F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F2257" i="5" s="1"/>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H247" i="5"/>
  <c r="I247" i="5"/>
  <c r="E247" i="5"/>
  <c r="X247" i="5" s="1"/>
  <c r="F247" i="5"/>
  <c r="R247" i="5"/>
  <c r="J247" i="5"/>
  <c r="H259" i="5"/>
  <c r="E259" i="5"/>
  <c r="X259" i="5" s="1"/>
  <c r="R259" i="5"/>
  <c r="G259" i="5"/>
  <c r="J259" i="5"/>
  <c r="I259" i="5"/>
  <c r="F259" i="5"/>
  <c r="I373" i="5"/>
  <c r="R373" i="5"/>
  <c r="J373" i="5"/>
  <c r="H373" i="5"/>
  <c r="F373" i="5"/>
  <c r="E373" i="5"/>
  <c r="X373" i="5" s="1"/>
  <c r="R337" i="5"/>
  <c r="J337" i="5"/>
  <c r="H337" i="5"/>
  <c r="F337" i="5"/>
  <c r="E337" i="5"/>
  <c r="X337" i="5" s="1"/>
  <c r="R249" i="5"/>
  <c r="E249" i="5"/>
  <c r="X249" i="5" s="1"/>
  <c r="F249"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79" i="5"/>
  <c r="V279" i="5"/>
  <c r="G279" i="5" s="1"/>
  <c r="AB311" i="5"/>
  <c r="AB319" i="5"/>
  <c r="AB327" i="5"/>
  <c r="AB344" i="5"/>
  <c r="AB347" i="5"/>
  <c r="R361" i="5"/>
  <c r="V365" i="5"/>
  <c r="V379" i="5"/>
  <c r="R379" i="5" s="1"/>
  <c r="T383" i="5"/>
  <c r="AB388" i="5"/>
  <c r="R392" i="5"/>
  <c r="R393" i="5"/>
  <c r="V407" i="5"/>
  <c r="R407" i="5" s="1"/>
  <c r="V415" i="5"/>
  <c r="H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I576" i="5" s="1"/>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R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R746" i="5" s="1"/>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R1285" i="5" s="1"/>
  <c r="AB1289" i="5"/>
  <c r="G1301" i="5"/>
  <c r="S1302" i="5"/>
  <c r="T1313" i="5"/>
  <c r="AB1316" i="5"/>
  <c r="V1317" i="5"/>
  <c r="G1317" i="5" s="1"/>
  <c r="AB1321" i="5"/>
  <c r="G1333" i="5"/>
  <c r="S1334" i="5"/>
  <c r="G1336" i="5"/>
  <c r="G1349" i="5"/>
  <c r="S1382" i="5"/>
  <c r="AB1390" i="5"/>
  <c r="G1397" i="5"/>
  <c r="AB1405" i="5"/>
  <c r="G1414" i="5"/>
  <c r="V1430" i="5"/>
  <c r="V1438" i="5"/>
  <c r="J1438" i="5" s="1"/>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R2330" i="5" s="1"/>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H254" i="5"/>
  <c r="F254" i="5"/>
  <c r="E254" i="5"/>
  <c r="X254" i="5" s="1"/>
  <c r="R254" i="5"/>
  <c r="J254" i="5"/>
  <c r="I254" i="5"/>
  <c r="H286" i="5"/>
  <c r="F286" i="5"/>
  <c r="E286" i="5"/>
  <c r="X286" i="5" s="1"/>
  <c r="R286" i="5"/>
  <c r="J286" i="5"/>
  <c r="I286" i="5"/>
  <c r="AB320" i="5"/>
  <c r="V320" i="5"/>
  <c r="G320" i="5" s="1"/>
  <c r="AB412" i="5"/>
  <c r="T412" i="5"/>
  <c r="S412" i="5"/>
  <c r="H270" i="5"/>
  <c r="F270" i="5"/>
  <c r="E270" i="5"/>
  <c r="X270" i="5" s="1"/>
  <c r="R270" i="5"/>
  <c r="J270" i="5"/>
  <c r="I270" i="5"/>
  <c r="R311" i="5"/>
  <c r="H311" i="5"/>
  <c r="I311" i="5"/>
  <c r="F311" i="5"/>
  <c r="E311" i="5"/>
  <c r="X311" i="5" s="1"/>
  <c r="J311" i="5"/>
  <c r="G254" i="5"/>
  <c r="S260" i="5"/>
  <c r="AB260" i="5"/>
  <c r="T260" i="5"/>
  <c r="G270" i="5"/>
  <c r="S276" i="5"/>
  <c r="AB276" i="5"/>
  <c r="T276" i="5"/>
  <c r="G286" i="5"/>
  <c r="S292" i="5"/>
  <c r="AB292" i="5"/>
  <c r="T292" i="5"/>
  <c r="G311"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84" i="5"/>
  <c r="T590" i="5"/>
  <c r="T594" i="5"/>
  <c r="I596" i="5"/>
  <c r="E598" i="5"/>
  <c r="X598" i="5" s="1"/>
  <c r="T598" i="5"/>
  <c r="I600" i="5"/>
  <c r="E602" i="5"/>
  <c r="X602" i="5" s="1"/>
  <c r="T602" i="5"/>
  <c r="I604" i="5"/>
  <c r="E606" i="5"/>
  <c r="X606" i="5" s="1"/>
  <c r="T606"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T634" i="5"/>
  <c r="I636" i="5"/>
  <c r="E638" i="5"/>
  <c r="X638" i="5" s="1"/>
  <c r="T638" i="5"/>
  <c r="E642" i="5"/>
  <c r="X642" i="5" s="1"/>
  <c r="T642" i="5"/>
  <c r="E646" i="5"/>
  <c r="X646" i="5" s="1"/>
  <c r="T646" i="5"/>
  <c r="E650" i="5"/>
  <c r="X650" i="5" s="1"/>
  <c r="T650" i="5"/>
  <c r="I652" i="5"/>
  <c r="T654" i="5"/>
  <c r="I656" i="5"/>
  <c r="T658" i="5"/>
  <c r="I660" i="5"/>
  <c r="T662" i="5"/>
  <c r="T666" i="5"/>
  <c r="T670" i="5"/>
  <c r="T674" i="5"/>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I638" i="5"/>
  <c r="I642" i="5"/>
  <c r="I646" i="5"/>
  <c r="I650" i="5"/>
  <c r="I678"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696" i="5"/>
  <c r="G700" i="5"/>
  <c r="G704" i="5"/>
  <c r="G708" i="5"/>
  <c r="G716"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AB1287" i="5"/>
  <c r="H1289" i="5"/>
  <c r="AB1291" i="5"/>
  <c r="H1293" i="5"/>
  <c r="AB1295" i="5"/>
  <c r="H1297" i="5"/>
  <c r="AB1299" i="5"/>
  <c r="H1301" i="5"/>
  <c r="AB1303" i="5"/>
  <c r="H1305" i="5"/>
  <c r="AB1307" i="5"/>
  <c r="H1309" i="5"/>
  <c r="AB1311" i="5"/>
  <c r="H1313" i="5"/>
  <c r="AB1315" i="5"/>
  <c r="AB1319" i="5"/>
  <c r="H1321" i="5"/>
  <c r="AB1323" i="5"/>
  <c r="H1325" i="5"/>
  <c r="AB1327"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11" i="5"/>
  <c r="R1015" i="5"/>
  <c r="R1019" i="5"/>
  <c r="R1023" i="5"/>
  <c r="R1027" i="5"/>
  <c r="R1031" i="5"/>
  <c r="R1039" i="5"/>
  <c r="R1043" i="5"/>
  <c r="R1047" i="5"/>
  <c r="R1051" i="5"/>
  <c r="R1059" i="5"/>
  <c r="R1063"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V1429" i="5"/>
  <c r="G1429" i="5" s="1"/>
  <c r="J1430" i="5"/>
  <c r="E1431" i="5"/>
  <c r="X1431" i="5" s="1"/>
  <c r="AB1431" i="5"/>
  <c r="E1434" i="5"/>
  <c r="X1434" i="5" s="1"/>
  <c r="V1437"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J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13" i="5"/>
  <c r="F1617" i="5"/>
  <c r="F1621" i="5"/>
  <c r="S1627" i="5"/>
  <c r="AB1631" i="5"/>
  <c r="F1636" i="5"/>
  <c r="AB1646" i="5"/>
  <c r="T1646" i="5"/>
  <c r="S1646" i="5"/>
  <c r="I1652" i="5"/>
  <c r="V1659" i="5"/>
  <c r="AB1663" i="5"/>
  <c r="F1668" i="5"/>
  <c r="AB1678" i="5"/>
  <c r="T1678" i="5"/>
  <c r="S1678"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13" i="5"/>
  <c r="H1617" i="5"/>
  <c r="H1621" i="5"/>
  <c r="V1635" i="5"/>
  <c r="G1635" i="5" s="1"/>
  <c r="F1644" i="5"/>
  <c r="AB1654" i="5"/>
  <c r="T1654" i="5"/>
  <c r="S1654" i="5"/>
  <c r="J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1"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4" i="5"/>
  <c r="T2335" i="5"/>
  <c r="R2338" i="5"/>
  <c r="T2339"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2" i="6" l="1"/>
  <c r="B246" i="5"/>
  <c r="C246" i="5"/>
  <c r="C245" i="5"/>
  <c r="B245" i="5"/>
  <c r="C244" i="5"/>
  <c r="B244" i="5"/>
  <c r="B243" i="5"/>
  <c r="C243" i="5"/>
  <c r="C242" i="5"/>
  <c r="B242" i="5"/>
  <c r="C241" i="5"/>
  <c r="B241" i="5"/>
  <c r="B240" i="5"/>
  <c r="C240" i="5"/>
  <c r="B239" i="5"/>
  <c r="C239" i="5"/>
  <c r="C238" i="5"/>
  <c r="B238" i="5"/>
  <c r="B237" i="5"/>
  <c r="C237" i="5"/>
  <c r="C236" i="5"/>
  <c r="B236" i="5"/>
  <c r="C235" i="5"/>
  <c r="B235" i="5"/>
  <c r="B234" i="5"/>
  <c r="C234" i="5"/>
  <c r="B233" i="5"/>
  <c r="C233" i="5"/>
  <c r="B232" i="5"/>
  <c r="C232" i="5"/>
  <c r="B231" i="5"/>
  <c r="C231" i="5"/>
  <c r="C230" i="5"/>
  <c r="B230" i="5"/>
  <c r="C229" i="5"/>
  <c r="B229" i="5"/>
  <c r="B228" i="5"/>
  <c r="C228" i="5"/>
  <c r="C227" i="5"/>
  <c r="B227" i="5"/>
  <c r="C226" i="5"/>
  <c r="B226" i="5"/>
  <c r="B225" i="5"/>
  <c r="C225" i="5"/>
  <c r="C224" i="5"/>
  <c r="B224" i="5"/>
  <c r="C223" i="5"/>
  <c r="B223" i="5"/>
  <c r="B222" i="5"/>
  <c r="C222" i="5"/>
  <c r="C221" i="5"/>
  <c r="B221" i="5"/>
  <c r="C220" i="5"/>
  <c r="B220" i="5"/>
  <c r="B219" i="5"/>
  <c r="C219" i="5"/>
  <c r="C218" i="5"/>
  <c r="B218" i="5"/>
  <c r="C217" i="5"/>
  <c r="B217" i="5"/>
  <c r="B216" i="5"/>
  <c r="C216" i="5"/>
  <c r="C215" i="5"/>
  <c r="B215" i="5"/>
  <c r="C214" i="5"/>
  <c r="B214" i="5"/>
  <c r="B213" i="5"/>
  <c r="C213" i="5"/>
  <c r="B212" i="5"/>
  <c r="C212" i="5"/>
  <c r="C211" i="5"/>
  <c r="B211" i="5"/>
  <c r="B210" i="5"/>
  <c r="C210" i="5"/>
  <c r="B209" i="5"/>
  <c r="C209" i="5"/>
  <c r="C208" i="5"/>
  <c r="B208" i="5"/>
  <c r="B207" i="5"/>
  <c r="C207" i="5"/>
  <c r="C205" i="5"/>
  <c r="B205" i="5"/>
  <c r="V204" i="5"/>
  <c r="B201" i="5"/>
  <c r="C201" i="5"/>
  <c r="B200" i="5"/>
  <c r="C200" i="5"/>
  <c r="B199" i="5"/>
  <c r="C199" i="5"/>
  <c r="B198" i="5"/>
  <c r="C198" i="5"/>
  <c r="C197" i="5"/>
  <c r="B197" i="5"/>
  <c r="B196" i="5"/>
  <c r="C196" i="5"/>
  <c r="B195" i="5"/>
  <c r="C195" i="5"/>
  <c r="B194" i="5"/>
  <c r="C194" i="5"/>
  <c r="C193" i="5"/>
  <c r="B193" i="5"/>
  <c r="V192" i="5"/>
  <c r="C191" i="5"/>
  <c r="B191" i="5"/>
  <c r="V189" i="5"/>
  <c r="V188" i="5"/>
  <c r="C187" i="5"/>
  <c r="B187" i="5"/>
  <c r="C184" i="5"/>
  <c r="B184" i="5"/>
  <c r="C182" i="5"/>
  <c r="B182" i="5"/>
  <c r="B181" i="5"/>
  <c r="C181" i="5"/>
  <c r="B180" i="5"/>
  <c r="C180" i="5"/>
  <c r="C179" i="5"/>
  <c r="B179" i="5"/>
  <c r="C178" i="5"/>
  <c r="B178" i="5"/>
  <c r="B177" i="5"/>
  <c r="C177" i="5"/>
  <c r="V176" i="5"/>
  <c r="C175" i="5"/>
  <c r="B175" i="5"/>
  <c r="V172" i="5"/>
  <c r="B169" i="5"/>
  <c r="C169" i="5"/>
  <c r="B168" i="5"/>
  <c r="C168" i="5"/>
  <c r="C167" i="5"/>
  <c r="B167" i="5"/>
  <c r="B166" i="5"/>
  <c r="C166" i="5"/>
  <c r="B165" i="5"/>
  <c r="C165" i="5"/>
  <c r="C164" i="5"/>
  <c r="B164" i="5"/>
  <c r="V163" i="5"/>
  <c r="B162" i="5"/>
  <c r="C162" i="5"/>
  <c r="C161" i="5"/>
  <c r="B161" i="5"/>
  <c r="B160" i="5"/>
  <c r="C160" i="5"/>
  <c r="C159" i="5"/>
  <c r="B159" i="5"/>
  <c r="C157" i="5"/>
  <c r="B157" i="5"/>
  <c r="V156" i="5"/>
  <c r="B154" i="5"/>
  <c r="C154" i="5"/>
  <c r="C153" i="5"/>
  <c r="B153" i="5"/>
  <c r="C152" i="5"/>
  <c r="B152" i="5"/>
  <c r="B151" i="5"/>
  <c r="C151" i="5"/>
  <c r="B150" i="5"/>
  <c r="C150" i="5"/>
  <c r="C149" i="5"/>
  <c r="B149" i="5"/>
  <c r="C148" i="5"/>
  <c r="B148" i="5"/>
  <c r="V147" i="5"/>
  <c r="B144" i="5"/>
  <c r="C144" i="5"/>
  <c r="C142" i="5"/>
  <c r="B142" i="5"/>
  <c r="C140" i="5"/>
  <c r="B140" i="5"/>
  <c r="C139" i="5"/>
  <c r="B139" i="5"/>
  <c r="B138" i="5"/>
  <c r="C138" i="5"/>
  <c r="C137" i="5"/>
  <c r="B137" i="5"/>
  <c r="B136" i="5"/>
  <c r="C136" i="5"/>
  <c r="B135" i="5"/>
  <c r="C135" i="5"/>
  <c r="C134" i="5"/>
  <c r="B134" i="5"/>
  <c r="B133" i="5"/>
  <c r="C133" i="5"/>
  <c r="B132" i="5"/>
  <c r="C132" i="5"/>
  <c r="C131" i="5"/>
  <c r="B131" i="5"/>
  <c r="C130" i="5"/>
  <c r="B130" i="5"/>
  <c r="B129" i="5"/>
  <c r="C129" i="5"/>
  <c r="C128" i="5"/>
  <c r="B128" i="5"/>
  <c r="C127" i="5"/>
  <c r="B127" i="5"/>
  <c r="B126" i="5"/>
  <c r="C126" i="5"/>
  <c r="C125" i="5"/>
  <c r="B125" i="5"/>
  <c r="V124" i="5"/>
  <c r="B123" i="5"/>
  <c r="C123" i="5"/>
  <c r="B122" i="5"/>
  <c r="C122" i="5"/>
  <c r="C121" i="5"/>
  <c r="B121" i="5"/>
  <c r="C120" i="5"/>
  <c r="B120" i="5"/>
  <c r="C119" i="5"/>
  <c r="B119" i="5"/>
  <c r="C118" i="5"/>
  <c r="B118" i="5"/>
  <c r="C117" i="5"/>
  <c r="B117" i="5"/>
  <c r="B116" i="5"/>
  <c r="C116" i="5"/>
  <c r="B115" i="5"/>
  <c r="C115" i="5"/>
  <c r="C114" i="5"/>
  <c r="B114" i="5"/>
  <c r="C113" i="5"/>
  <c r="B113" i="5"/>
  <c r="C112" i="5"/>
  <c r="B112" i="5"/>
  <c r="C111" i="5"/>
  <c r="B111" i="5"/>
  <c r="B110" i="5"/>
  <c r="C110" i="5"/>
  <c r="C109" i="5"/>
  <c r="B109" i="5"/>
  <c r="V108" i="5"/>
  <c r="C107" i="5"/>
  <c r="B107" i="5"/>
  <c r="C106" i="5"/>
  <c r="B106" i="5"/>
  <c r="C105" i="5"/>
  <c r="B105" i="5"/>
  <c r="C104" i="5"/>
  <c r="B104" i="5"/>
  <c r="C103" i="5"/>
  <c r="B103" i="5"/>
  <c r="C102" i="5"/>
  <c r="B102" i="5"/>
  <c r="C101" i="5"/>
  <c r="B101" i="5"/>
  <c r="B100" i="5"/>
  <c r="C100" i="5"/>
  <c r="C99" i="5"/>
  <c r="B99" i="5"/>
  <c r="C98" i="5"/>
  <c r="B98" i="5"/>
  <c r="C97" i="5"/>
  <c r="B97" i="5"/>
  <c r="C96" i="5"/>
  <c r="B96" i="5"/>
  <c r="C95" i="5"/>
  <c r="B95" i="5"/>
  <c r="B94" i="5"/>
  <c r="C94" i="5"/>
  <c r="C93" i="5"/>
  <c r="B93" i="5"/>
  <c r="C92" i="5"/>
  <c r="B92" i="5"/>
  <c r="C91" i="5"/>
  <c r="B91" i="5"/>
  <c r="C90" i="5"/>
  <c r="B90" i="5"/>
  <c r="C89" i="5"/>
  <c r="B89" i="5"/>
  <c r="B88" i="5"/>
  <c r="C88" i="5"/>
  <c r="C87" i="5"/>
  <c r="B87" i="5"/>
  <c r="C86" i="5"/>
  <c r="B86" i="5"/>
  <c r="C85" i="5"/>
  <c r="B85" i="5"/>
  <c r="C84" i="5"/>
  <c r="B84" i="5"/>
  <c r="C83" i="5"/>
  <c r="B83" i="5"/>
  <c r="C82" i="5"/>
  <c r="B82" i="5"/>
  <c r="C81" i="5"/>
  <c r="B81" i="5"/>
  <c r="C80" i="5"/>
  <c r="B80" i="5"/>
  <c r="C79" i="5"/>
  <c r="B79" i="5"/>
  <c r="C78" i="5"/>
  <c r="B78" i="5"/>
  <c r="C77" i="5"/>
  <c r="B77" i="5"/>
  <c r="C76" i="5"/>
  <c r="B76" i="5"/>
  <c r="C75" i="5"/>
  <c r="B75" i="5"/>
  <c r="B74" i="5"/>
  <c r="C74" i="5"/>
  <c r="C73" i="5"/>
  <c r="B73" i="5"/>
  <c r="C72" i="5"/>
  <c r="B72" i="5"/>
  <c r="C71" i="5"/>
  <c r="B71" i="5"/>
  <c r="C70" i="5"/>
  <c r="B70" i="5"/>
  <c r="C69" i="5"/>
  <c r="B69" i="5"/>
  <c r="C68" i="5"/>
  <c r="B68" i="5"/>
  <c r="C67" i="5"/>
  <c r="B67" i="5"/>
  <c r="C66" i="5"/>
  <c r="B66" i="5"/>
  <c r="C65" i="5"/>
  <c r="B65" i="5"/>
  <c r="C64" i="5"/>
  <c r="B64" i="5"/>
  <c r="C63" i="5"/>
  <c r="B63" i="5"/>
  <c r="C62" i="5"/>
  <c r="B62" i="5"/>
  <c r="C61" i="5"/>
  <c r="B61" i="5"/>
  <c r="C60" i="5"/>
  <c r="B60" i="5"/>
  <c r="C59" i="5"/>
  <c r="B59" i="5"/>
  <c r="B58" i="5"/>
  <c r="C58" i="5"/>
  <c r="C57" i="5"/>
  <c r="B57"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B41" i="5"/>
  <c r="C41" i="5"/>
  <c r="C40" i="5"/>
  <c r="B40" i="5"/>
  <c r="C39" i="5"/>
  <c r="B39" i="5"/>
  <c r="C38" i="5"/>
  <c r="B38" i="5"/>
  <c r="B37" i="5"/>
  <c r="C37" i="5"/>
  <c r="C36" i="5"/>
  <c r="B36" i="5"/>
  <c r="C35" i="5"/>
  <c r="B35" i="5"/>
  <c r="C34" i="5"/>
  <c r="B34" i="5"/>
  <c r="C33" i="5"/>
  <c r="B33" i="5"/>
  <c r="B32" i="5"/>
  <c r="C32" i="5"/>
  <c r="C31" i="5"/>
  <c r="B31" i="5"/>
  <c r="C30" i="5"/>
  <c r="B30" i="5"/>
  <c r="C29" i="5"/>
  <c r="B29" i="5"/>
  <c r="B28" i="5"/>
  <c r="C28" i="5"/>
  <c r="C27" i="5"/>
  <c r="B27" i="5"/>
  <c r="C26" i="5"/>
  <c r="B26" i="5"/>
  <c r="B25" i="5"/>
  <c r="C25" i="5"/>
  <c r="C24" i="5"/>
  <c r="B24" i="5"/>
  <c r="C23" i="5"/>
  <c r="B23" i="5"/>
  <c r="B22" i="5"/>
  <c r="C22" i="5"/>
  <c r="C21" i="5"/>
  <c r="B21" i="5"/>
  <c r="C20" i="5"/>
  <c r="B20" i="5"/>
  <c r="B19" i="5"/>
  <c r="C19" i="5"/>
  <c r="C18" i="5"/>
  <c r="B18" i="5"/>
  <c r="B16" i="5"/>
  <c r="B17" i="5"/>
  <c r="B14" i="5"/>
  <c r="B15" i="5"/>
  <c r="B12" i="5"/>
  <c r="B13" i="5"/>
  <c r="B10" i="5"/>
  <c r="B11" i="5"/>
  <c r="B8" i="5"/>
  <c r="B9" i="5"/>
  <c r="C7" i="5"/>
  <c r="B7" i="5"/>
  <c r="B6" i="5"/>
  <c r="C6" i="5"/>
  <c r="B5" i="5"/>
  <c r="C5" i="5"/>
  <c r="C9" i="6"/>
  <c r="C11" i="6"/>
  <c r="C10" i="6"/>
  <c r="C8" i="6"/>
  <c r="C7" i="6"/>
  <c r="C4" i="6"/>
  <c r="R2454" i="5"/>
  <c r="J2012" i="5"/>
  <c r="R1645" i="5"/>
  <c r="R1660" i="5"/>
  <c r="I1684" i="5"/>
  <c r="J1652" i="5"/>
  <c r="F1609" i="5"/>
  <c r="E1526" i="5"/>
  <c r="X1526" i="5" s="1"/>
  <c r="R891" i="5"/>
  <c r="G746" i="5"/>
  <c r="G680" i="5"/>
  <c r="F746" i="5"/>
  <c r="H720" i="5"/>
  <c r="I680" i="5"/>
  <c r="H576" i="5"/>
  <c r="J2342" i="5"/>
  <c r="I1140" i="5"/>
  <c r="J2454" i="5"/>
  <c r="R2012" i="5"/>
  <c r="E1660" i="5"/>
  <c r="X1660" i="5" s="1"/>
  <c r="J1684" i="5"/>
  <c r="R1652" i="5"/>
  <c r="F1526" i="5"/>
  <c r="E1426" i="5"/>
  <c r="X1426" i="5" s="1"/>
  <c r="R1067" i="5"/>
  <c r="H1285" i="5"/>
  <c r="I1007" i="5"/>
  <c r="E746" i="5"/>
  <c r="X746" i="5" s="1"/>
  <c r="R720" i="5"/>
  <c r="I644" i="5"/>
  <c r="F2342" i="5"/>
  <c r="E2257" i="5"/>
  <c r="X2257" i="5" s="1"/>
  <c r="H1633" i="5"/>
  <c r="R1684" i="5"/>
  <c r="E1652" i="5"/>
  <c r="X1652" i="5" s="1"/>
  <c r="J1426" i="5"/>
  <c r="R1329" i="5"/>
  <c r="J680" i="5"/>
  <c r="I632" i="5"/>
  <c r="R415" i="5"/>
  <c r="J415" i="5"/>
  <c r="F2012" i="5"/>
  <c r="E1633" i="5"/>
  <c r="X1633" i="5" s="1"/>
  <c r="E720" i="5"/>
  <c r="X720" i="5" s="1"/>
  <c r="B32" i="6"/>
  <c r="R2342" i="5"/>
  <c r="I2233" i="5"/>
  <c r="R1633" i="5"/>
  <c r="J1609" i="5"/>
  <c r="H1660" i="5"/>
  <c r="E1684" i="5"/>
  <c r="X1684" i="5" s="1"/>
  <c r="E1329" i="5"/>
  <c r="X1329" i="5" s="1"/>
  <c r="I1067" i="5"/>
  <c r="I608" i="5"/>
  <c r="E379" i="5"/>
  <c r="X379" i="5" s="1"/>
  <c r="R2257" i="5"/>
  <c r="H2257" i="5"/>
  <c r="J644" i="5"/>
  <c r="I720" i="5"/>
  <c r="I2342" i="5"/>
  <c r="J1801" i="5"/>
  <c r="R1609" i="5"/>
  <c r="I1660" i="5"/>
  <c r="H1609" i="5"/>
  <c r="H1652" i="5"/>
  <c r="I1526" i="5"/>
  <c r="H1329" i="5"/>
  <c r="R1086" i="5"/>
  <c r="G720" i="5"/>
  <c r="H680" i="5"/>
  <c r="F680" i="5"/>
  <c r="E680" i="5"/>
  <c r="X680" i="5" s="1"/>
  <c r="I648" i="5"/>
  <c r="H648" i="5"/>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E2325" i="5"/>
  <c r="X2325" i="5" s="1"/>
  <c r="H2012" i="5"/>
  <c r="F640" i="5"/>
  <c r="E556" i="5"/>
  <c r="X556" i="5" s="1"/>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281" i="5"/>
  <c r="E1510" i="5"/>
  <c r="X1510" i="5" s="1"/>
  <c r="F1190" i="5"/>
  <c r="I983" i="5"/>
  <c r="J1292" i="5"/>
  <c r="G974" i="5"/>
  <c r="E974" i="5"/>
  <c r="X974" i="5" s="1"/>
  <c r="F749" i="5"/>
  <c r="J717" i="5"/>
  <c r="H640" i="5"/>
  <c r="H588" i="5"/>
  <c r="R435" i="5"/>
  <c r="H431" i="5"/>
  <c r="I281"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G2381" i="5"/>
  <c r="J1527" i="5"/>
  <c r="I1527" i="5"/>
  <c r="H1527" i="5"/>
  <c r="E1527" i="5"/>
  <c r="X1527" i="5" s="1"/>
  <c r="G265" i="5"/>
  <c r="F592" i="5"/>
  <c r="R592" i="5"/>
  <c r="I2386" i="5"/>
  <c r="H2405" i="5"/>
  <c r="H2180" i="5"/>
  <c r="R2100" i="5"/>
  <c r="R1940" i="5"/>
  <c r="G1761" i="5"/>
  <c r="R1867" i="5"/>
  <c r="J1193" i="5"/>
  <c r="G1304" i="5"/>
  <c r="F1145" i="5"/>
  <c r="F867" i="5"/>
  <c r="J303"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F2381" i="5"/>
  <c r="E2405" i="5"/>
  <c r="X2405" i="5" s="1"/>
  <c r="J2386" i="5"/>
  <c r="R2180" i="5"/>
  <c r="H2160" i="5"/>
  <c r="F2100" i="5"/>
  <c r="R1952" i="5"/>
  <c r="H2035" i="5"/>
  <c r="F1867" i="5"/>
  <c r="R1786" i="5"/>
  <c r="R1131" i="5"/>
  <c r="R1304" i="5"/>
  <c r="I971" i="5"/>
  <c r="F1074" i="5"/>
  <c r="F971" i="5"/>
  <c r="I817" i="5"/>
  <c r="I330" i="5"/>
  <c r="J379" i="5"/>
  <c r="I303" i="5"/>
  <c r="G574" i="5"/>
  <c r="G1665" i="5"/>
  <c r="R2386" i="5"/>
  <c r="I2160" i="5"/>
  <c r="E1952" i="5"/>
  <c r="X1952" i="5" s="1"/>
  <c r="I2035" i="5"/>
  <c r="E1786" i="5"/>
  <c r="X1786" i="5" s="1"/>
  <c r="I1471" i="5"/>
  <c r="R1471" i="5"/>
  <c r="R971" i="5"/>
  <c r="H1145" i="5"/>
  <c r="H971" i="5"/>
  <c r="J817" i="5"/>
  <c r="R817" i="5"/>
  <c r="F303" i="5"/>
  <c r="G97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808" i="5"/>
  <c r="J808" i="5"/>
  <c r="E808" i="5"/>
  <c r="X808" i="5" s="1"/>
  <c r="E644" i="5"/>
  <c r="X644" i="5" s="1"/>
  <c r="F644" i="5"/>
  <c r="I2265" i="5"/>
  <c r="R2265" i="5"/>
  <c r="J2265" i="5"/>
  <c r="E608" i="5"/>
  <c r="X608" i="5" s="1"/>
  <c r="F608" i="5"/>
  <c r="J1138" i="5"/>
  <c r="E891" i="5"/>
  <c r="X891" i="5" s="1"/>
  <c r="I867" i="5"/>
  <c r="R915" i="5"/>
  <c r="R710" i="5"/>
  <c r="H664" i="5"/>
  <c r="H608" i="5"/>
  <c r="H407"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R931" i="5"/>
  <c r="R1138" i="5"/>
  <c r="E867" i="5"/>
  <c r="X867" i="5" s="1"/>
  <c r="G891" i="5"/>
  <c r="G867" i="5"/>
  <c r="I679" i="5"/>
  <c r="J427" i="5"/>
  <c r="F2265" i="5"/>
  <c r="E2265" i="5"/>
  <c r="X2265" i="5" s="1"/>
  <c r="I2199" i="5"/>
  <c r="R2199" i="5"/>
  <c r="J2199" i="5"/>
  <c r="E1051" i="5"/>
  <c r="X1051" i="5" s="1"/>
  <c r="H1051" i="5"/>
  <c r="G1067" i="5"/>
  <c r="R578" i="5"/>
  <c r="F578" i="5"/>
  <c r="R306" i="5"/>
  <c r="H306" i="5"/>
  <c r="G463" i="5"/>
  <c r="J1761" i="5"/>
  <c r="I1510" i="5"/>
  <c r="E1464" i="5"/>
  <c r="X1464" i="5" s="1"/>
  <c r="F1138" i="5"/>
  <c r="F891" i="5"/>
  <c r="H2265" i="5"/>
  <c r="F974" i="5"/>
  <c r="I2397" i="5"/>
  <c r="F2397" i="5"/>
  <c r="I2253" i="5"/>
  <c r="R2253" i="5"/>
  <c r="J2253" i="5"/>
  <c r="H2253" i="5"/>
  <c r="G2199" i="5"/>
  <c r="I2257" i="5"/>
  <c r="J2257" i="5"/>
  <c r="J1403" i="5"/>
  <c r="H1403" i="5"/>
  <c r="G1492" i="5"/>
  <c r="R314" i="5"/>
  <c r="H314"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I391" i="5"/>
  <c r="F391" i="5"/>
  <c r="F915" i="5"/>
  <c r="H712" i="5"/>
  <c r="H427"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X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R402" i="5"/>
  <c r="J402" i="5"/>
  <c r="I402" i="5"/>
  <c r="H402" i="5"/>
  <c r="F402" i="5"/>
  <c r="E402" i="5"/>
  <c r="X402" i="5" s="1"/>
  <c r="G355" i="5"/>
  <c r="H204" i="5"/>
  <c r="X204" i="5"/>
  <c r="R204"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E328" i="5"/>
  <c r="X328" i="5" s="1"/>
  <c r="J328" i="5"/>
  <c r="F328" i="5"/>
  <c r="R328" i="5"/>
  <c r="I328" i="5"/>
  <c r="H328" i="5"/>
  <c r="H176" i="5"/>
  <c r="R176" i="5"/>
  <c r="X176"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H192" i="5"/>
  <c r="R192" i="5"/>
  <c r="X192" i="5"/>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R382" i="5"/>
  <c r="I382" i="5"/>
  <c r="H382" i="5"/>
  <c r="F382" i="5"/>
  <c r="J382" i="5"/>
  <c r="G382" i="5"/>
  <c r="E382" i="5"/>
  <c r="X382" i="5" s="1"/>
  <c r="E359" i="5"/>
  <c r="X359" i="5" s="1"/>
  <c r="R359" i="5"/>
  <c r="J359" i="5"/>
  <c r="H359" i="5"/>
  <c r="F359" i="5"/>
  <c r="I359"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H124" i="5"/>
  <c r="R124" i="5"/>
  <c r="X124"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E316" i="5"/>
  <c r="X316" i="5" s="1"/>
  <c r="J316" i="5"/>
  <c r="R316" i="5"/>
  <c r="H316" i="5"/>
  <c r="G316" i="5"/>
  <c r="F316" i="5"/>
  <c r="I316" i="5"/>
  <c r="H172" i="5"/>
  <c r="X172" i="5"/>
  <c r="R172" i="5"/>
  <c r="H156" i="5"/>
  <c r="R156" i="5"/>
  <c r="X156" i="5"/>
  <c r="E308" i="5"/>
  <c r="X308" i="5" s="1"/>
  <c r="J308" i="5"/>
  <c r="R308" i="5"/>
  <c r="H308" i="5"/>
  <c r="G308" i="5"/>
  <c r="F308" i="5"/>
  <c r="I308" i="5"/>
  <c r="E312" i="5"/>
  <c r="X312" i="5" s="1"/>
  <c r="J312" i="5"/>
  <c r="F312" i="5"/>
  <c r="R312" i="5"/>
  <c r="I312" i="5"/>
  <c r="H312" i="5"/>
  <c r="H188" i="5"/>
  <c r="R188" i="5"/>
  <c r="X188"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E339" i="5"/>
  <c r="X339" i="5" s="1"/>
  <c r="R339" i="5"/>
  <c r="H339" i="5"/>
  <c r="F339" i="5"/>
  <c r="J339" i="5"/>
  <c r="I339" i="5"/>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R350" i="5"/>
  <c r="I350" i="5"/>
  <c r="H350" i="5"/>
  <c r="F350" i="5"/>
  <c r="J350" i="5"/>
  <c r="E350" i="5"/>
  <c r="X350" i="5" s="1"/>
  <c r="E320" i="5"/>
  <c r="X320" i="5" s="1"/>
  <c r="J320" i="5"/>
  <c r="F320" i="5"/>
  <c r="R320" i="5"/>
  <c r="I320" i="5"/>
  <c r="H320" i="5"/>
  <c r="V239" i="5" l="1"/>
  <c r="V246" i="5"/>
  <c r="G246" i="5" s="1"/>
  <c r="AB246" i="5"/>
  <c r="V243" i="5"/>
  <c r="V244" i="5"/>
  <c r="AB245" i="5"/>
  <c r="V245" i="5"/>
  <c r="G245" i="5" s="1"/>
  <c r="AB244" i="5"/>
  <c r="AB243" i="5"/>
  <c r="AB242" i="5"/>
  <c r="V242" i="5"/>
  <c r="G242" i="5" s="1"/>
  <c r="V240" i="5"/>
  <c r="AB241" i="5"/>
  <c r="V241" i="5"/>
  <c r="G241" i="5" s="1"/>
  <c r="AB240" i="5"/>
  <c r="V236" i="5"/>
  <c r="AB239" i="5"/>
  <c r="AB238" i="5"/>
  <c r="V238" i="5"/>
  <c r="G238" i="5" s="1"/>
  <c r="V237" i="5"/>
  <c r="G237" i="5" s="1"/>
  <c r="AB237" i="5"/>
  <c r="AB236" i="5"/>
  <c r="AB235" i="5"/>
  <c r="V235" i="5"/>
  <c r="G235" i="5" s="1"/>
  <c r="V234" i="5"/>
  <c r="G234" i="5" s="1"/>
  <c r="AB234" i="5"/>
  <c r="V233" i="5"/>
  <c r="G233" i="5" s="1"/>
  <c r="AB233" i="5"/>
  <c r="V232" i="5"/>
  <c r="AB232" i="5"/>
  <c r="V231" i="5"/>
  <c r="G231" i="5" s="1"/>
  <c r="AB231" i="5"/>
  <c r="V228" i="5"/>
  <c r="AB230" i="5"/>
  <c r="V230" i="5"/>
  <c r="G230" i="5" s="1"/>
  <c r="AB229" i="5"/>
  <c r="V229" i="5"/>
  <c r="G229" i="5" s="1"/>
  <c r="AB228" i="5"/>
  <c r="AB227" i="5"/>
  <c r="V227" i="5"/>
  <c r="G227" i="5" s="1"/>
  <c r="V224" i="5"/>
  <c r="AB226" i="5"/>
  <c r="V226" i="5"/>
  <c r="G226" i="5" s="1"/>
  <c r="V225" i="5"/>
  <c r="G225" i="5" s="1"/>
  <c r="AB225" i="5"/>
  <c r="AB224" i="5"/>
  <c r="AB223" i="5"/>
  <c r="V223" i="5"/>
  <c r="G223" i="5" s="1"/>
  <c r="V222" i="5"/>
  <c r="G222" i="5" s="1"/>
  <c r="AB222" i="5"/>
  <c r="AB221" i="5"/>
  <c r="V221" i="5"/>
  <c r="G221" i="5" s="1"/>
  <c r="AB220" i="5"/>
  <c r="V220" i="5"/>
  <c r="V219" i="5"/>
  <c r="G219" i="5" s="1"/>
  <c r="AB219" i="5"/>
  <c r="V216" i="5"/>
  <c r="AB218" i="5"/>
  <c r="V218" i="5"/>
  <c r="G218" i="5" s="1"/>
  <c r="AB217" i="5"/>
  <c r="V217" i="5"/>
  <c r="G217" i="5" s="1"/>
  <c r="AB216" i="5"/>
  <c r="AB215" i="5"/>
  <c r="V215" i="5"/>
  <c r="V212" i="5"/>
  <c r="AB214" i="5"/>
  <c r="V214" i="5"/>
  <c r="G214" i="5" s="1"/>
  <c r="V213" i="5"/>
  <c r="G213" i="5" s="1"/>
  <c r="AB213" i="5"/>
  <c r="AB212" i="5"/>
  <c r="AB211" i="5"/>
  <c r="V208" i="5"/>
  <c r="V211" i="5"/>
  <c r="V210" i="5"/>
  <c r="G210" i="5" s="1"/>
  <c r="AB210" i="5"/>
  <c r="V209" i="5"/>
  <c r="G209" i="5" s="1"/>
  <c r="AB209" i="5"/>
  <c r="AB208" i="5"/>
  <c r="V207" i="5"/>
  <c r="AB207" i="5"/>
  <c r="AB206" i="5"/>
  <c r="V206" i="5"/>
  <c r="AB205" i="5"/>
  <c r="V205" i="5"/>
  <c r="G205" i="5" s="1"/>
  <c r="AB204" i="5"/>
  <c r="V200" i="5"/>
  <c r="V201" i="5"/>
  <c r="R201" i="5" s="1"/>
  <c r="AB203" i="5"/>
  <c r="V203" i="5"/>
  <c r="V202" i="5"/>
  <c r="AB202" i="5"/>
  <c r="AB201" i="5"/>
  <c r="AB200" i="5"/>
  <c r="V199" i="5"/>
  <c r="G199" i="5" s="1"/>
  <c r="AB199" i="5"/>
  <c r="V198" i="5"/>
  <c r="G198" i="5" s="1"/>
  <c r="AB198" i="5"/>
  <c r="AB197" i="5"/>
  <c r="V197" i="5"/>
  <c r="G197" i="5" s="1"/>
  <c r="V194" i="5"/>
  <c r="V196" i="5"/>
  <c r="AB196" i="5"/>
  <c r="V195" i="5"/>
  <c r="G195" i="5" s="1"/>
  <c r="AB195" i="5"/>
  <c r="AB194" i="5"/>
  <c r="AB193" i="5"/>
  <c r="V193" i="5"/>
  <c r="G193" i="5" s="1"/>
  <c r="V191" i="5"/>
  <c r="AB192" i="5"/>
  <c r="AB191" i="5"/>
  <c r="AB190" i="5"/>
  <c r="V190" i="5"/>
  <c r="AB189" i="5"/>
  <c r="R189" i="5"/>
  <c r="X189" i="5"/>
  <c r="AB188" i="5"/>
  <c r="AB187" i="5"/>
  <c r="V187" i="5"/>
  <c r="G187" i="5" s="1"/>
  <c r="V186" i="5"/>
  <c r="AB186" i="5"/>
  <c r="AB185" i="5"/>
  <c r="V185" i="5"/>
  <c r="AB184" i="5"/>
  <c r="V184" i="5"/>
  <c r="V183" i="5"/>
  <c r="AB183" i="5"/>
  <c r="AB182" i="5"/>
  <c r="V182" i="5"/>
  <c r="G182" i="5" s="1"/>
  <c r="V181" i="5"/>
  <c r="G181" i="5" s="1"/>
  <c r="AB181" i="5"/>
  <c r="V180" i="5"/>
  <c r="AB180" i="5"/>
  <c r="AB179" i="5"/>
  <c r="V179" i="5"/>
  <c r="G179" i="5" s="1"/>
  <c r="AB178" i="5"/>
  <c r="V178" i="5"/>
  <c r="G178" i="5" s="1"/>
  <c r="V177" i="5"/>
  <c r="G177" i="5" s="1"/>
  <c r="AB177" i="5"/>
  <c r="AB176" i="5"/>
  <c r="AB175" i="5"/>
  <c r="V175" i="5"/>
  <c r="V174" i="5"/>
  <c r="AB174" i="5"/>
  <c r="AB173" i="5"/>
  <c r="V173" i="5"/>
  <c r="AB172" i="5"/>
  <c r="V171" i="5"/>
  <c r="AB171" i="5"/>
  <c r="V168" i="5"/>
  <c r="V170" i="5"/>
  <c r="AB170" i="5"/>
  <c r="V169" i="5"/>
  <c r="G169" i="5" s="1"/>
  <c r="AB169" i="5"/>
  <c r="AB168" i="5"/>
  <c r="AB167" i="5"/>
  <c r="V167" i="5"/>
  <c r="G167" i="5" s="1"/>
  <c r="V166" i="5"/>
  <c r="G166" i="5" s="1"/>
  <c r="AB166" i="5"/>
  <c r="V165" i="5"/>
  <c r="AB165" i="5"/>
  <c r="AB164" i="5"/>
  <c r="V164" i="5"/>
  <c r="V161" i="5"/>
  <c r="G161" i="5" s="1"/>
  <c r="AB163" i="5"/>
  <c r="V162" i="5"/>
  <c r="G162" i="5" s="1"/>
  <c r="AB162" i="5"/>
  <c r="AB161" i="5"/>
  <c r="V160" i="5"/>
  <c r="AB160" i="5"/>
  <c r="AB159" i="5"/>
  <c r="V159" i="5"/>
  <c r="G159" i="5" s="1"/>
  <c r="AB158" i="5"/>
  <c r="V158" i="5"/>
  <c r="AB157" i="5"/>
  <c r="V157" i="5"/>
  <c r="G157" i="5" s="1"/>
  <c r="AB156" i="5"/>
  <c r="V155" i="5"/>
  <c r="AB155" i="5"/>
  <c r="V152" i="5"/>
  <c r="V154" i="5"/>
  <c r="G154" i="5" s="1"/>
  <c r="AB154" i="5"/>
  <c r="V151" i="5"/>
  <c r="AB153" i="5"/>
  <c r="V153" i="5"/>
  <c r="G153" i="5" s="1"/>
  <c r="AB152" i="5"/>
  <c r="V148" i="5"/>
  <c r="AB151" i="5"/>
  <c r="V150" i="5"/>
  <c r="G150" i="5" s="1"/>
  <c r="AB150" i="5"/>
  <c r="AB149" i="5"/>
  <c r="V149" i="5"/>
  <c r="G149" i="5" s="1"/>
  <c r="AB148" i="5"/>
  <c r="H147" i="5"/>
  <c r="R147" i="5"/>
  <c r="X147" i="5"/>
  <c r="AB147" i="5"/>
  <c r="AB146" i="5"/>
  <c r="V146" i="5"/>
  <c r="V145" i="5"/>
  <c r="AB145" i="5"/>
  <c r="V144" i="5"/>
  <c r="AB144" i="5"/>
  <c r="AB143" i="5"/>
  <c r="V143" i="5"/>
  <c r="AB142" i="5"/>
  <c r="V142" i="5"/>
  <c r="G142" i="5" s="1"/>
  <c r="V136" i="5"/>
  <c r="V140" i="5"/>
  <c r="V141" i="5"/>
  <c r="AB141" i="5"/>
  <c r="AB140" i="5"/>
  <c r="AB139" i="5"/>
  <c r="V139" i="5"/>
  <c r="G139" i="5" s="1"/>
  <c r="V138" i="5"/>
  <c r="G138" i="5" s="1"/>
  <c r="AB138" i="5"/>
  <c r="AB137" i="5"/>
  <c r="V137" i="5"/>
  <c r="G137" i="5" s="1"/>
  <c r="AB136" i="5"/>
  <c r="V135" i="5"/>
  <c r="G135" i="5" s="1"/>
  <c r="AB135" i="5"/>
  <c r="AB134" i="5"/>
  <c r="V134" i="5"/>
  <c r="G134" i="5" s="1"/>
  <c r="V132" i="5"/>
  <c r="V133" i="5"/>
  <c r="G133" i="5" s="1"/>
  <c r="AB133" i="5"/>
  <c r="AB132" i="5"/>
  <c r="AB131" i="5"/>
  <c r="V131" i="5"/>
  <c r="G131" i="5" s="1"/>
  <c r="AB130" i="5"/>
  <c r="V130" i="5"/>
  <c r="G130" i="5" s="1"/>
  <c r="V128" i="5"/>
  <c r="V129" i="5"/>
  <c r="G129" i="5" s="1"/>
  <c r="AB129" i="5"/>
  <c r="AB128" i="5"/>
  <c r="AB127" i="5"/>
  <c r="V127" i="5"/>
  <c r="G127" i="5" s="1"/>
  <c r="V126" i="5"/>
  <c r="G126" i="5" s="1"/>
  <c r="AB126" i="5"/>
  <c r="AB125" i="5"/>
  <c r="V125" i="5"/>
  <c r="G125" i="5" s="1"/>
  <c r="AB124" i="5"/>
  <c r="V123" i="5"/>
  <c r="G123" i="5" s="1"/>
  <c r="V120" i="5"/>
  <c r="AB123" i="5"/>
  <c r="V122" i="5"/>
  <c r="G122" i="5" s="1"/>
  <c r="AB122" i="5"/>
  <c r="AB121" i="5"/>
  <c r="V121" i="5"/>
  <c r="G121" i="5" s="1"/>
  <c r="AB120" i="5"/>
  <c r="AB119" i="5"/>
  <c r="V119" i="5"/>
  <c r="G119" i="5" s="1"/>
  <c r="V116" i="5"/>
  <c r="AB118" i="5"/>
  <c r="V118" i="5"/>
  <c r="G118" i="5" s="1"/>
  <c r="AB117" i="5"/>
  <c r="V117" i="5"/>
  <c r="G117" i="5" s="1"/>
  <c r="V115" i="5"/>
  <c r="G115" i="5" s="1"/>
  <c r="AB116" i="5"/>
  <c r="AB115" i="5"/>
  <c r="AB114" i="5"/>
  <c r="V114" i="5"/>
  <c r="G114" i="5" s="1"/>
  <c r="AB113" i="5"/>
  <c r="V113" i="5"/>
  <c r="G113" i="5" s="1"/>
  <c r="AB112" i="5"/>
  <c r="V112" i="5"/>
  <c r="AB111" i="5"/>
  <c r="V111" i="5"/>
  <c r="G111" i="5" s="1"/>
  <c r="V110" i="5"/>
  <c r="G110" i="5" s="1"/>
  <c r="AB110" i="5"/>
  <c r="AB109" i="5"/>
  <c r="V109" i="5"/>
  <c r="G109" i="5" s="1"/>
  <c r="X108" i="5"/>
  <c r="R108" i="5"/>
  <c r="AB108" i="5"/>
  <c r="AB107" i="5"/>
  <c r="V107" i="5"/>
  <c r="G107" i="5" s="1"/>
  <c r="AB106" i="5"/>
  <c r="V106" i="5"/>
  <c r="G106" i="5" s="1"/>
  <c r="V103" i="5"/>
  <c r="I103" i="5" s="1"/>
  <c r="AB105" i="5"/>
  <c r="V105" i="5"/>
  <c r="G105" i="5" s="1"/>
  <c r="AB104" i="5"/>
  <c r="V104" i="5"/>
  <c r="AB103" i="5"/>
  <c r="V100" i="5"/>
  <c r="V101" i="5"/>
  <c r="E101" i="5" s="1"/>
  <c r="X101" i="5" s="1"/>
  <c r="AB102" i="5"/>
  <c r="V102" i="5"/>
  <c r="AB101" i="5"/>
  <c r="AB100" i="5"/>
  <c r="AB99" i="5"/>
  <c r="V99" i="5"/>
  <c r="G99" i="5" s="1"/>
  <c r="AB98" i="5"/>
  <c r="V98" i="5"/>
  <c r="G98" i="5" s="1"/>
  <c r="AB97" i="5"/>
  <c r="V97" i="5"/>
  <c r="G97" i="5" s="1"/>
  <c r="AB96" i="5"/>
  <c r="V96" i="5"/>
  <c r="G96" i="5" s="1"/>
  <c r="AB95" i="5"/>
  <c r="V95" i="5"/>
  <c r="G95" i="5" s="1"/>
  <c r="V94" i="5"/>
  <c r="G94" i="5" s="1"/>
  <c r="V91" i="5"/>
  <c r="G91" i="5" s="1"/>
  <c r="AB94" i="5"/>
  <c r="AB93" i="5"/>
  <c r="V93" i="5"/>
  <c r="G93" i="5" s="1"/>
  <c r="AB92" i="5"/>
  <c r="V92" i="5"/>
  <c r="G92" i="5" s="1"/>
  <c r="AB91" i="5"/>
  <c r="AB90" i="5"/>
  <c r="V90" i="5"/>
  <c r="G90" i="5" s="1"/>
  <c r="AB89" i="5"/>
  <c r="V89" i="5"/>
  <c r="G89" i="5" s="1"/>
  <c r="V88" i="5"/>
  <c r="G88" i="5" s="1"/>
  <c r="AB88" i="5"/>
  <c r="AB87" i="5"/>
  <c r="V87" i="5"/>
  <c r="AB86" i="5"/>
  <c r="V86" i="5"/>
  <c r="G86" i="5" s="1"/>
  <c r="AB85" i="5"/>
  <c r="V85" i="5"/>
  <c r="G85" i="5" s="1"/>
  <c r="AB84" i="5"/>
  <c r="V84" i="5"/>
  <c r="G84" i="5" s="1"/>
  <c r="AB83" i="5"/>
  <c r="V83" i="5"/>
  <c r="G83" i="5" s="1"/>
  <c r="AB82" i="5"/>
  <c r="V82" i="5"/>
  <c r="G82" i="5" s="1"/>
  <c r="AB81" i="5"/>
  <c r="V81" i="5"/>
  <c r="G81" i="5" s="1"/>
  <c r="AB80" i="5"/>
  <c r="V80" i="5"/>
  <c r="G80" i="5" s="1"/>
  <c r="AB79" i="5"/>
  <c r="V79" i="5"/>
  <c r="G79" i="5" s="1"/>
  <c r="AB78" i="5"/>
  <c r="V78" i="5"/>
  <c r="G78" i="5" s="1"/>
  <c r="AB77" i="5"/>
  <c r="V77" i="5"/>
  <c r="G77" i="5" s="1"/>
  <c r="AB76" i="5"/>
  <c r="V76" i="5"/>
  <c r="G76" i="5" s="1"/>
  <c r="AB75" i="5"/>
  <c r="V75" i="5"/>
  <c r="G75" i="5" s="1"/>
  <c r="V74" i="5"/>
  <c r="G74" i="5" s="1"/>
  <c r="AB74" i="5"/>
  <c r="V71" i="5"/>
  <c r="AB73" i="5"/>
  <c r="V73" i="5"/>
  <c r="G73" i="5" s="1"/>
  <c r="AB72" i="5"/>
  <c r="V72" i="5"/>
  <c r="G72" i="5" s="1"/>
  <c r="AB71" i="5"/>
  <c r="AB70" i="5"/>
  <c r="V70" i="5"/>
  <c r="G70" i="5" s="1"/>
  <c r="AB69" i="5"/>
  <c r="V69" i="5"/>
  <c r="G69" i="5" s="1"/>
  <c r="AB68" i="5"/>
  <c r="V68" i="5"/>
  <c r="G68" i="5" s="1"/>
  <c r="AB67" i="5"/>
  <c r="V67" i="5"/>
  <c r="G67" i="5" s="1"/>
  <c r="AB66" i="5"/>
  <c r="V66" i="5"/>
  <c r="G66" i="5" s="1"/>
  <c r="AB65" i="5"/>
  <c r="V65" i="5"/>
  <c r="G65" i="5" s="1"/>
  <c r="AB64" i="5"/>
  <c r="V64" i="5"/>
  <c r="G64" i="5" s="1"/>
  <c r="AB63" i="5"/>
  <c r="V63" i="5"/>
  <c r="G63" i="5" s="1"/>
  <c r="AB62" i="5"/>
  <c r="V62" i="5"/>
  <c r="G62" i="5" s="1"/>
  <c r="AB61" i="5"/>
  <c r="V61" i="5"/>
  <c r="G61" i="5" s="1"/>
  <c r="AB60" i="5"/>
  <c r="V60" i="5"/>
  <c r="G60" i="5" s="1"/>
  <c r="AB59" i="5"/>
  <c r="V59" i="5"/>
  <c r="G59" i="5" s="1"/>
  <c r="V58" i="5"/>
  <c r="G58" i="5" s="1"/>
  <c r="AB58" i="5"/>
  <c r="AB57" i="5"/>
  <c r="V57" i="5"/>
  <c r="G57" i="5" s="1"/>
  <c r="AB56" i="5"/>
  <c r="V56" i="5"/>
  <c r="AB55" i="5"/>
  <c r="V55" i="5"/>
  <c r="G55" i="5" s="1"/>
  <c r="AB54" i="5"/>
  <c r="V54" i="5"/>
  <c r="G54" i="5" s="1"/>
  <c r="AB53" i="5"/>
  <c r="V53" i="5"/>
  <c r="G53" i="5" s="1"/>
  <c r="AB52" i="5"/>
  <c r="V52" i="5"/>
  <c r="G52" i="5" s="1"/>
  <c r="AB51" i="5"/>
  <c r="V51" i="5"/>
  <c r="G51" i="5" s="1"/>
  <c r="AB50" i="5"/>
  <c r="V50" i="5"/>
  <c r="G50" i="5" s="1"/>
  <c r="AB49" i="5"/>
  <c r="V49" i="5"/>
  <c r="G49" i="5" s="1"/>
  <c r="AB48" i="5"/>
  <c r="V48" i="5"/>
  <c r="G48" i="5" s="1"/>
  <c r="AB47" i="5"/>
  <c r="V47" i="5"/>
  <c r="G47" i="5" s="1"/>
  <c r="AB46" i="5"/>
  <c r="V46" i="5"/>
  <c r="G46" i="5" s="1"/>
  <c r="AB45" i="5"/>
  <c r="V45" i="5"/>
  <c r="G45" i="5" s="1"/>
  <c r="AB44" i="5"/>
  <c r="V44" i="5"/>
  <c r="G44" i="5" s="1"/>
  <c r="AB43" i="5"/>
  <c r="V43" i="5"/>
  <c r="AB42" i="5"/>
  <c r="V42" i="5"/>
  <c r="G42" i="5" s="1"/>
  <c r="V41" i="5"/>
  <c r="G41" i="5" s="1"/>
  <c r="AB41" i="5"/>
  <c r="AB40" i="5"/>
  <c r="V40" i="5"/>
  <c r="G40" i="5" s="1"/>
  <c r="AB39" i="5"/>
  <c r="V39" i="5"/>
  <c r="G39" i="5" s="1"/>
  <c r="AB38" i="5"/>
  <c r="V38" i="5"/>
  <c r="G38" i="5" s="1"/>
  <c r="V37" i="5"/>
  <c r="G37" i="5" s="1"/>
  <c r="AB37" i="5"/>
  <c r="AB36" i="5"/>
  <c r="V36" i="5"/>
  <c r="G36" i="5" s="1"/>
  <c r="AB35" i="5"/>
  <c r="V35" i="5"/>
  <c r="G35" i="5" s="1"/>
  <c r="AB34" i="5"/>
  <c r="V34" i="5"/>
  <c r="G34" i="5" s="1"/>
  <c r="AB33" i="5"/>
  <c r="V33" i="5"/>
  <c r="G33" i="5" s="1"/>
  <c r="V32" i="5"/>
  <c r="G32" i="5" s="1"/>
  <c r="AB32" i="5"/>
  <c r="AB31" i="5"/>
  <c r="V31" i="5"/>
  <c r="G31" i="5" s="1"/>
  <c r="AB30" i="5"/>
  <c r="V30" i="5"/>
  <c r="G30" i="5" s="1"/>
  <c r="AB29" i="5"/>
  <c r="V29" i="5"/>
  <c r="G29" i="5" s="1"/>
  <c r="V28" i="5"/>
  <c r="G28" i="5" s="1"/>
  <c r="AB28" i="5"/>
  <c r="AB27" i="5"/>
  <c r="V27" i="5"/>
  <c r="G27" i="5" s="1"/>
  <c r="AB26" i="5"/>
  <c r="V26" i="5"/>
  <c r="G26" i="5" s="1"/>
  <c r="V25" i="5"/>
  <c r="G25" i="5" s="1"/>
  <c r="AB25" i="5"/>
  <c r="AB24" i="5"/>
  <c r="V24" i="5"/>
  <c r="G24" i="5" s="1"/>
  <c r="AB23" i="5"/>
  <c r="V23" i="5"/>
  <c r="G23" i="5" s="1"/>
  <c r="V22" i="5"/>
  <c r="G22" i="5" s="1"/>
  <c r="AB22" i="5"/>
  <c r="AB21" i="5"/>
  <c r="V21" i="5"/>
  <c r="G21" i="5" s="1"/>
  <c r="AB20" i="5"/>
  <c r="V20" i="5"/>
  <c r="G20" i="5" s="1"/>
  <c r="AB18" i="5"/>
  <c r="V19" i="5"/>
  <c r="G19" i="5" s="1"/>
  <c r="AB19" i="5"/>
  <c r="V18" i="5"/>
  <c r="G18" i="5" s="1"/>
  <c r="V6" i="5"/>
  <c r="G6" i="5" s="1"/>
  <c r="AB6" i="5"/>
  <c r="V5" i="5"/>
  <c r="G5" i="5" s="1"/>
  <c r="AB5" i="5"/>
  <c r="H24" i="6"/>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147" i="5"/>
  <c r="S189" i="5"/>
  <c r="S101" i="5"/>
  <c r="S176" i="5"/>
  <c r="T192" i="5"/>
  <c r="S156" i="5"/>
  <c r="S108" i="5"/>
  <c r="S192" i="5"/>
  <c r="T163" i="5"/>
  <c r="T172" i="5"/>
  <c r="T188" i="5"/>
  <c r="S163" i="5"/>
  <c r="T108" i="5"/>
  <c r="T147" i="5"/>
  <c r="T124" i="5"/>
  <c r="S124" i="5"/>
  <c r="S204" i="5"/>
  <c r="T156" i="5"/>
  <c r="S188" i="5"/>
  <c r="S172" i="5"/>
  <c r="T189" i="5"/>
  <c r="T204" i="5"/>
  <c r="T176" i="5"/>
  <c r="G239" i="5" l="1"/>
  <c r="H239" i="5"/>
  <c r="J239" i="5"/>
  <c r="I239" i="5"/>
  <c r="R239" i="5"/>
  <c r="F239" i="5"/>
  <c r="E239" i="5"/>
  <c r="F246" i="5"/>
  <c r="E246" i="5"/>
  <c r="R246" i="5"/>
  <c r="J246" i="5"/>
  <c r="I246" i="5"/>
  <c r="H246" i="5"/>
  <c r="F245" i="5"/>
  <c r="H245" i="5"/>
  <c r="J245" i="5"/>
  <c r="R245" i="5"/>
  <c r="I245" i="5"/>
  <c r="E245" i="5"/>
  <c r="G244" i="5"/>
  <c r="E244" i="5"/>
  <c r="R244" i="5"/>
  <c r="J244" i="5"/>
  <c r="I244" i="5"/>
  <c r="H244" i="5"/>
  <c r="F244" i="5"/>
  <c r="G243" i="5"/>
  <c r="H243" i="5"/>
  <c r="E243" i="5"/>
  <c r="F243" i="5"/>
  <c r="R243" i="5"/>
  <c r="J243" i="5"/>
  <c r="I243" i="5"/>
  <c r="R242" i="5"/>
  <c r="J242" i="5"/>
  <c r="I242" i="5"/>
  <c r="H242" i="5"/>
  <c r="F242" i="5"/>
  <c r="E242" i="5"/>
  <c r="E241" i="5"/>
  <c r="H241" i="5"/>
  <c r="I241" i="5"/>
  <c r="J241" i="5"/>
  <c r="R241" i="5"/>
  <c r="F241" i="5"/>
  <c r="G240" i="5"/>
  <c r="I240" i="5"/>
  <c r="H240" i="5"/>
  <c r="F240" i="5"/>
  <c r="E240" i="5"/>
  <c r="R240" i="5"/>
  <c r="J240" i="5"/>
  <c r="G236" i="5"/>
  <c r="E236" i="5"/>
  <c r="R236" i="5"/>
  <c r="J236" i="5"/>
  <c r="I236" i="5"/>
  <c r="H236" i="5"/>
  <c r="F236" i="5"/>
  <c r="H238" i="5"/>
  <c r="F238" i="5"/>
  <c r="E238" i="5"/>
  <c r="R238" i="5"/>
  <c r="J238" i="5"/>
  <c r="I238" i="5"/>
  <c r="R237" i="5"/>
  <c r="F237" i="5"/>
  <c r="I237" i="5"/>
  <c r="E237" i="5"/>
  <c r="H237" i="5"/>
  <c r="J237" i="5"/>
  <c r="J235" i="5"/>
  <c r="F235" i="5"/>
  <c r="H235" i="5"/>
  <c r="I235" i="5"/>
  <c r="E235" i="5"/>
  <c r="R235" i="5"/>
  <c r="I234" i="5"/>
  <c r="H234" i="5"/>
  <c r="F234" i="5"/>
  <c r="E234" i="5"/>
  <c r="R234" i="5"/>
  <c r="J234" i="5"/>
  <c r="R233" i="5"/>
  <c r="F233" i="5"/>
  <c r="I233" i="5"/>
  <c r="H233" i="5"/>
  <c r="J233" i="5"/>
  <c r="E233" i="5"/>
  <c r="I232" i="5"/>
  <c r="H232" i="5"/>
  <c r="G232" i="5"/>
  <c r="F232" i="5"/>
  <c r="E232" i="5"/>
  <c r="R232" i="5"/>
  <c r="J232" i="5"/>
  <c r="H231" i="5"/>
  <c r="R231" i="5"/>
  <c r="J231" i="5"/>
  <c r="F231" i="5"/>
  <c r="E231" i="5"/>
  <c r="I231" i="5"/>
  <c r="F230" i="5"/>
  <c r="E230" i="5"/>
  <c r="R230" i="5"/>
  <c r="J230" i="5"/>
  <c r="I230" i="5"/>
  <c r="H230" i="5"/>
  <c r="G228" i="5"/>
  <c r="E228" i="5"/>
  <c r="J228" i="5"/>
  <c r="I228" i="5"/>
  <c r="H228" i="5"/>
  <c r="R228" i="5"/>
  <c r="F228" i="5"/>
  <c r="R229" i="5"/>
  <c r="F229" i="5"/>
  <c r="E229" i="5"/>
  <c r="H229" i="5"/>
  <c r="I229" i="5"/>
  <c r="J229" i="5"/>
  <c r="F227" i="5"/>
  <c r="J227" i="5"/>
  <c r="I227" i="5"/>
  <c r="H227" i="5"/>
  <c r="E227" i="5"/>
  <c r="R227" i="5"/>
  <c r="R226" i="5"/>
  <c r="J226" i="5"/>
  <c r="I226" i="5"/>
  <c r="H226" i="5"/>
  <c r="F226" i="5"/>
  <c r="E226" i="5"/>
  <c r="I224" i="5"/>
  <c r="H224" i="5"/>
  <c r="F224" i="5"/>
  <c r="E224" i="5"/>
  <c r="G224" i="5"/>
  <c r="R224" i="5"/>
  <c r="J224" i="5"/>
  <c r="E225" i="5"/>
  <c r="H225" i="5"/>
  <c r="J225" i="5"/>
  <c r="R225" i="5"/>
  <c r="I225" i="5"/>
  <c r="F225" i="5"/>
  <c r="J223" i="5"/>
  <c r="F223" i="5"/>
  <c r="I223" i="5"/>
  <c r="E223" i="5"/>
  <c r="H223" i="5"/>
  <c r="R223" i="5"/>
  <c r="H222" i="5"/>
  <c r="I222" i="5"/>
  <c r="F222" i="5"/>
  <c r="E222" i="5"/>
  <c r="R222" i="5"/>
  <c r="J222" i="5"/>
  <c r="F221" i="5"/>
  <c r="J221" i="5"/>
  <c r="E221" i="5"/>
  <c r="I221" i="5"/>
  <c r="H221" i="5"/>
  <c r="R221" i="5"/>
  <c r="G220" i="5"/>
  <c r="J220" i="5"/>
  <c r="I220" i="5"/>
  <c r="H220" i="5"/>
  <c r="F220" i="5"/>
  <c r="E220" i="5"/>
  <c r="R220" i="5"/>
  <c r="R219" i="5"/>
  <c r="J219" i="5"/>
  <c r="H219" i="5"/>
  <c r="I219" i="5"/>
  <c r="F219" i="5"/>
  <c r="E219" i="5"/>
  <c r="H218" i="5"/>
  <c r="R218" i="5"/>
  <c r="J218" i="5"/>
  <c r="I218" i="5"/>
  <c r="F218" i="5"/>
  <c r="E218" i="5"/>
  <c r="G216" i="5"/>
  <c r="I216" i="5"/>
  <c r="H216" i="5"/>
  <c r="F216" i="5"/>
  <c r="E216" i="5"/>
  <c r="J216" i="5"/>
  <c r="R216" i="5"/>
  <c r="E217" i="5"/>
  <c r="H217" i="5"/>
  <c r="R217" i="5"/>
  <c r="J217" i="5"/>
  <c r="F217" i="5"/>
  <c r="I217" i="5"/>
  <c r="G215" i="5"/>
  <c r="J215" i="5"/>
  <c r="H215" i="5"/>
  <c r="E215" i="5"/>
  <c r="I215" i="5"/>
  <c r="R215" i="5"/>
  <c r="F215" i="5"/>
  <c r="H214" i="5"/>
  <c r="F214" i="5"/>
  <c r="E214" i="5"/>
  <c r="R214" i="5"/>
  <c r="J214" i="5"/>
  <c r="I214" i="5"/>
  <c r="R212" i="5"/>
  <c r="J212" i="5"/>
  <c r="G212" i="5"/>
  <c r="I212" i="5"/>
  <c r="H212" i="5"/>
  <c r="F212" i="5"/>
  <c r="E212" i="5"/>
  <c r="E213" i="5"/>
  <c r="R213" i="5"/>
  <c r="J213" i="5"/>
  <c r="I213" i="5"/>
  <c r="F213" i="5"/>
  <c r="H213" i="5"/>
  <c r="G211" i="5"/>
  <c r="I211" i="5"/>
  <c r="F211" i="5"/>
  <c r="E211" i="5"/>
  <c r="H211" i="5"/>
  <c r="R211" i="5"/>
  <c r="J211" i="5"/>
  <c r="H208" i="5"/>
  <c r="E208" i="5"/>
  <c r="I208" i="5"/>
  <c r="G208" i="5"/>
  <c r="R208" i="5"/>
  <c r="J208" i="5"/>
  <c r="F208" i="5"/>
  <c r="E210" i="5"/>
  <c r="H210" i="5"/>
  <c r="F210" i="5"/>
  <c r="R210" i="5"/>
  <c r="J210" i="5"/>
  <c r="I210" i="5"/>
  <c r="H209" i="5"/>
  <c r="F209" i="5"/>
  <c r="J209" i="5"/>
  <c r="I209" i="5"/>
  <c r="E209" i="5"/>
  <c r="R209" i="5"/>
  <c r="G207" i="5"/>
  <c r="J207" i="5"/>
  <c r="R207" i="5"/>
  <c r="H207" i="5"/>
  <c r="E207" i="5"/>
  <c r="I207" i="5"/>
  <c r="F207" i="5"/>
  <c r="R206" i="5"/>
  <c r="H206" i="5"/>
  <c r="G68" i="6"/>
  <c r="H68" i="6" s="1"/>
  <c r="D68" i="6" s="1"/>
  <c r="R205" i="5"/>
  <c r="F205" i="5"/>
  <c r="I205" i="5"/>
  <c r="H205" i="5"/>
  <c r="E205" i="5"/>
  <c r="J205" i="5"/>
  <c r="G200" i="5"/>
  <c r="F200" i="5"/>
  <c r="R200" i="5"/>
  <c r="I200" i="5"/>
  <c r="E200" i="5"/>
  <c r="J200" i="5"/>
  <c r="H200" i="5"/>
  <c r="J201" i="5"/>
  <c r="H201" i="5"/>
  <c r="F201" i="5"/>
  <c r="G201" i="5"/>
  <c r="E201" i="5"/>
  <c r="I201" i="5"/>
  <c r="H203" i="5"/>
  <c r="R203" i="5"/>
  <c r="H202" i="5"/>
  <c r="R202" i="5"/>
  <c r="H199" i="5"/>
  <c r="E199" i="5"/>
  <c r="R199" i="5"/>
  <c r="J199" i="5"/>
  <c r="I199" i="5"/>
  <c r="F199" i="5"/>
  <c r="E198" i="5"/>
  <c r="R198" i="5"/>
  <c r="H198" i="5"/>
  <c r="J198" i="5"/>
  <c r="I198" i="5"/>
  <c r="F198" i="5"/>
  <c r="R197" i="5"/>
  <c r="F197" i="5"/>
  <c r="E197" i="5"/>
  <c r="J197" i="5"/>
  <c r="I197" i="5"/>
  <c r="H197" i="5"/>
  <c r="J196" i="5"/>
  <c r="H196" i="5"/>
  <c r="F196" i="5"/>
  <c r="R196" i="5"/>
  <c r="I196" i="5"/>
  <c r="E196" i="5"/>
  <c r="G196" i="5"/>
  <c r="I194" i="5"/>
  <c r="G194" i="5"/>
  <c r="E194" i="5"/>
  <c r="R194" i="5"/>
  <c r="F194" i="5"/>
  <c r="H194" i="5"/>
  <c r="J194" i="5"/>
  <c r="J195" i="5"/>
  <c r="H195" i="5"/>
  <c r="F195" i="5"/>
  <c r="E195" i="5"/>
  <c r="R195" i="5"/>
  <c r="I195" i="5"/>
  <c r="R193" i="5"/>
  <c r="J193" i="5"/>
  <c r="I193" i="5"/>
  <c r="E193" i="5"/>
  <c r="H193" i="5"/>
  <c r="F193" i="5"/>
  <c r="F191" i="5"/>
  <c r="I191" i="5"/>
  <c r="E191" i="5"/>
  <c r="H191" i="5"/>
  <c r="J191" i="5"/>
  <c r="R191" i="5"/>
  <c r="G191" i="5"/>
  <c r="R190" i="5"/>
  <c r="H190" i="5"/>
  <c r="J187" i="5"/>
  <c r="I187" i="5"/>
  <c r="H187" i="5"/>
  <c r="F187" i="5"/>
  <c r="E187" i="5"/>
  <c r="R187" i="5"/>
  <c r="R186" i="5"/>
  <c r="H186" i="5"/>
  <c r="R185" i="5"/>
  <c r="H185" i="5"/>
  <c r="G184" i="5"/>
  <c r="J184" i="5"/>
  <c r="H184" i="5"/>
  <c r="F184" i="5"/>
  <c r="E184" i="5"/>
  <c r="R184" i="5"/>
  <c r="I184" i="5"/>
  <c r="H183" i="5"/>
  <c r="R183" i="5"/>
  <c r="F182" i="5"/>
  <c r="R182" i="5"/>
  <c r="J182" i="5"/>
  <c r="H182" i="5"/>
  <c r="I182" i="5"/>
  <c r="E182" i="5"/>
  <c r="J181" i="5"/>
  <c r="I181" i="5"/>
  <c r="H181" i="5"/>
  <c r="R181" i="5"/>
  <c r="E181" i="5"/>
  <c r="F181" i="5"/>
  <c r="G180" i="5"/>
  <c r="E180" i="5"/>
  <c r="J180" i="5"/>
  <c r="H180" i="5"/>
  <c r="F180" i="5"/>
  <c r="R180" i="5"/>
  <c r="I180" i="5"/>
  <c r="H179" i="5"/>
  <c r="F179" i="5"/>
  <c r="J179" i="5"/>
  <c r="R179" i="5"/>
  <c r="E179" i="5"/>
  <c r="I179" i="5"/>
  <c r="I178" i="5"/>
  <c r="F178" i="5"/>
  <c r="R178" i="5"/>
  <c r="E178" i="5"/>
  <c r="J178" i="5"/>
  <c r="H178" i="5"/>
  <c r="R177" i="5"/>
  <c r="J177" i="5"/>
  <c r="I177" i="5"/>
  <c r="H177" i="5"/>
  <c r="F177" i="5"/>
  <c r="E177" i="5"/>
  <c r="F175" i="5"/>
  <c r="I175" i="5"/>
  <c r="H175" i="5"/>
  <c r="R175" i="5"/>
  <c r="G175" i="5"/>
  <c r="J175" i="5"/>
  <c r="E175" i="5"/>
  <c r="R174" i="5"/>
  <c r="H174" i="5"/>
  <c r="R173" i="5"/>
  <c r="H173" i="5"/>
  <c r="H171" i="5"/>
  <c r="R171" i="5"/>
  <c r="R170" i="5"/>
  <c r="H170" i="5"/>
  <c r="J168" i="5"/>
  <c r="F168" i="5"/>
  <c r="E168" i="5"/>
  <c r="R168" i="5"/>
  <c r="I168" i="5"/>
  <c r="H168" i="5"/>
  <c r="G168" i="5"/>
  <c r="E169" i="5"/>
  <c r="J169" i="5"/>
  <c r="I169" i="5"/>
  <c r="F169" i="5"/>
  <c r="H169" i="5"/>
  <c r="R169" i="5"/>
  <c r="J167" i="5"/>
  <c r="E167" i="5"/>
  <c r="I167" i="5"/>
  <c r="H167" i="5"/>
  <c r="F167" i="5"/>
  <c r="R167" i="5"/>
  <c r="H166" i="5"/>
  <c r="E166" i="5"/>
  <c r="I166" i="5"/>
  <c r="F166" i="5"/>
  <c r="R166" i="5"/>
  <c r="J166" i="5"/>
  <c r="G165" i="5"/>
  <c r="J165" i="5"/>
  <c r="I165" i="5"/>
  <c r="F165" i="5"/>
  <c r="R165" i="5"/>
  <c r="H165" i="5"/>
  <c r="E165" i="5"/>
  <c r="J164" i="5"/>
  <c r="H164" i="5"/>
  <c r="F164" i="5"/>
  <c r="G164" i="5"/>
  <c r="R164" i="5"/>
  <c r="I164" i="5"/>
  <c r="E164" i="5"/>
  <c r="I161" i="5"/>
  <c r="J161" i="5"/>
  <c r="E161" i="5"/>
  <c r="X161" i="5" s="1"/>
  <c r="R161" i="5"/>
  <c r="F161" i="5"/>
  <c r="H161" i="5"/>
  <c r="I162" i="5"/>
  <c r="F162" i="5"/>
  <c r="H162" i="5"/>
  <c r="R162" i="5"/>
  <c r="E162" i="5"/>
  <c r="J162" i="5"/>
  <c r="G160" i="5"/>
  <c r="H160" i="5"/>
  <c r="F160" i="5"/>
  <c r="R160" i="5"/>
  <c r="I160" i="5"/>
  <c r="E160" i="5"/>
  <c r="J160" i="5"/>
  <c r="E159" i="5"/>
  <c r="R159" i="5"/>
  <c r="J159" i="5"/>
  <c r="I159" i="5"/>
  <c r="F159" i="5"/>
  <c r="H159" i="5"/>
  <c r="H158" i="5"/>
  <c r="R158" i="5"/>
  <c r="R157" i="5"/>
  <c r="F157" i="5"/>
  <c r="H157" i="5"/>
  <c r="J157" i="5"/>
  <c r="E157" i="5"/>
  <c r="I157" i="5"/>
  <c r="H155" i="5"/>
  <c r="R155" i="5"/>
  <c r="I154" i="5"/>
  <c r="F154" i="5"/>
  <c r="R154" i="5"/>
  <c r="J154" i="5"/>
  <c r="E154" i="5"/>
  <c r="H154" i="5"/>
  <c r="E152" i="5"/>
  <c r="R152" i="5"/>
  <c r="I152" i="5"/>
  <c r="G152" i="5"/>
  <c r="J152" i="5"/>
  <c r="H152" i="5"/>
  <c r="F152" i="5"/>
  <c r="R153" i="5"/>
  <c r="I153" i="5"/>
  <c r="E153" i="5"/>
  <c r="H153" i="5"/>
  <c r="F153" i="5"/>
  <c r="J153" i="5"/>
  <c r="J151" i="5"/>
  <c r="G151" i="5"/>
  <c r="I151" i="5"/>
  <c r="F151" i="5"/>
  <c r="E151" i="5"/>
  <c r="H151" i="5"/>
  <c r="R151" i="5"/>
  <c r="G148" i="5"/>
  <c r="F148" i="5"/>
  <c r="R148" i="5"/>
  <c r="I148" i="5"/>
  <c r="H148" i="5"/>
  <c r="E148" i="5"/>
  <c r="J148" i="5"/>
  <c r="E150" i="5"/>
  <c r="R150" i="5"/>
  <c r="H150" i="5"/>
  <c r="J150" i="5"/>
  <c r="F150" i="5"/>
  <c r="I150" i="5"/>
  <c r="J149" i="5"/>
  <c r="F149" i="5"/>
  <c r="I149" i="5"/>
  <c r="E149" i="5"/>
  <c r="R149" i="5"/>
  <c r="H149" i="5"/>
  <c r="H146" i="5"/>
  <c r="R146" i="5"/>
  <c r="R145" i="5"/>
  <c r="H145" i="5"/>
  <c r="I144" i="5"/>
  <c r="E144" i="5"/>
  <c r="J144" i="5"/>
  <c r="H144" i="5"/>
  <c r="G144" i="5"/>
  <c r="R144" i="5"/>
  <c r="F144" i="5"/>
  <c r="H143" i="5"/>
  <c r="R143" i="5"/>
  <c r="I142" i="5"/>
  <c r="J142" i="5"/>
  <c r="H142" i="5"/>
  <c r="E142" i="5"/>
  <c r="F142" i="5"/>
  <c r="R142" i="5"/>
  <c r="G136" i="5"/>
  <c r="R136" i="5"/>
  <c r="I136" i="5"/>
  <c r="E136" i="5"/>
  <c r="J136" i="5"/>
  <c r="H136" i="5"/>
  <c r="F136" i="5"/>
  <c r="G140" i="5"/>
  <c r="J140" i="5"/>
  <c r="H140" i="5"/>
  <c r="F140" i="5"/>
  <c r="I140" i="5"/>
  <c r="R140" i="5"/>
  <c r="E140" i="5"/>
  <c r="R141" i="5"/>
  <c r="H141" i="5"/>
  <c r="F139" i="5"/>
  <c r="H139" i="5"/>
  <c r="R139" i="5"/>
  <c r="J139" i="5"/>
  <c r="I139" i="5"/>
  <c r="E139" i="5"/>
  <c r="I138" i="5"/>
  <c r="H138" i="5"/>
  <c r="F138" i="5"/>
  <c r="E138" i="5"/>
  <c r="R138" i="5"/>
  <c r="J138" i="5"/>
  <c r="R137" i="5"/>
  <c r="E137" i="5"/>
  <c r="J137" i="5"/>
  <c r="I137" i="5"/>
  <c r="H137" i="5"/>
  <c r="F137" i="5"/>
  <c r="J135" i="5"/>
  <c r="I135" i="5"/>
  <c r="H135" i="5"/>
  <c r="E135" i="5"/>
  <c r="F135" i="5"/>
  <c r="R135" i="5"/>
  <c r="I134" i="5"/>
  <c r="E134" i="5"/>
  <c r="H134" i="5"/>
  <c r="F134" i="5"/>
  <c r="R134" i="5"/>
  <c r="J134" i="5"/>
  <c r="R133" i="5"/>
  <c r="F133" i="5"/>
  <c r="J133" i="5"/>
  <c r="I133" i="5"/>
  <c r="H133" i="5"/>
  <c r="E133" i="5"/>
  <c r="G132" i="5"/>
  <c r="H132" i="5"/>
  <c r="F132" i="5"/>
  <c r="R132" i="5"/>
  <c r="I132" i="5"/>
  <c r="E132" i="5"/>
  <c r="J132" i="5"/>
  <c r="J131" i="5"/>
  <c r="H131" i="5"/>
  <c r="F131" i="5"/>
  <c r="E131" i="5"/>
  <c r="I131" i="5"/>
  <c r="R131" i="5"/>
  <c r="I130" i="5"/>
  <c r="J130" i="5"/>
  <c r="H130" i="5"/>
  <c r="E130" i="5"/>
  <c r="F130" i="5"/>
  <c r="R130" i="5"/>
  <c r="J129" i="5"/>
  <c r="E129" i="5"/>
  <c r="I129" i="5"/>
  <c r="F129" i="5"/>
  <c r="H129" i="5"/>
  <c r="R129" i="5"/>
  <c r="G128" i="5"/>
  <c r="R128" i="5"/>
  <c r="F128" i="5"/>
  <c r="I128" i="5"/>
  <c r="E128" i="5"/>
  <c r="J128" i="5"/>
  <c r="H128" i="5"/>
  <c r="R127" i="5"/>
  <c r="F127" i="5"/>
  <c r="J127" i="5"/>
  <c r="I127" i="5"/>
  <c r="E127" i="5"/>
  <c r="H127" i="5"/>
  <c r="I126" i="5"/>
  <c r="H126" i="5"/>
  <c r="E126" i="5"/>
  <c r="F126" i="5"/>
  <c r="R126" i="5"/>
  <c r="J126" i="5"/>
  <c r="F125" i="5"/>
  <c r="H125" i="5"/>
  <c r="R125" i="5"/>
  <c r="J125" i="5"/>
  <c r="E125" i="5"/>
  <c r="I125" i="5"/>
  <c r="G120" i="5"/>
  <c r="I120" i="5"/>
  <c r="J120" i="5"/>
  <c r="H120" i="5"/>
  <c r="F120" i="5"/>
  <c r="E120" i="5"/>
  <c r="R120" i="5"/>
  <c r="E123" i="5"/>
  <c r="I123" i="5"/>
  <c r="R123" i="5"/>
  <c r="F123" i="5"/>
  <c r="H123" i="5"/>
  <c r="J123" i="5"/>
  <c r="I122" i="5"/>
  <c r="J122" i="5"/>
  <c r="H122" i="5"/>
  <c r="F122" i="5"/>
  <c r="R122" i="5"/>
  <c r="E122" i="5"/>
  <c r="R121" i="5"/>
  <c r="J121" i="5"/>
  <c r="E121" i="5"/>
  <c r="I121" i="5"/>
  <c r="H121" i="5"/>
  <c r="F121" i="5"/>
  <c r="I119" i="5"/>
  <c r="E119" i="5"/>
  <c r="R119" i="5"/>
  <c r="J119" i="5"/>
  <c r="H119" i="5"/>
  <c r="F119" i="5"/>
  <c r="J115" i="5"/>
  <c r="F118" i="5"/>
  <c r="I118" i="5"/>
  <c r="R118" i="5"/>
  <c r="J118" i="5"/>
  <c r="E118" i="5"/>
  <c r="H118" i="5"/>
  <c r="G116" i="5"/>
  <c r="E116" i="5"/>
  <c r="J116" i="5"/>
  <c r="H116" i="5"/>
  <c r="F116" i="5"/>
  <c r="R116" i="5"/>
  <c r="I116" i="5"/>
  <c r="F115" i="5"/>
  <c r="E115" i="5"/>
  <c r="H117" i="5"/>
  <c r="E117" i="5"/>
  <c r="F117" i="5"/>
  <c r="J117" i="5"/>
  <c r="I117" i="5"/>
  <c r="R117" i="5"/>
  <c r="R115" i="5"/>
  <c r="I115" i="5"/>
  <c r="H115" i="5"/>
  <c r="E114" i="5"/>
  <c r="H114" i="5"/>
  <c r="F114" i="5"/>
  <c r="R114" i="5"/>
  <c r="I114" i="5"/>
  <c r="J114" i="5"/>
  <c r="F113" i="5"/>
  <c r="I113" i="5"/>
  <c r="E113" i="5"/>
  <c r="H113" i="5"/>
  <c r="R113" i="5"/>
  <c r="J113" i="5"/>
  <c r="G112" i="5"/>
  <c r="H112" i="5"/>
  <c r="F112" i="5"/>
  <c r="R112" i="5"/>
  <c r="I112" i="5"/>
  <c r="J112" i="5"/>
  <c r="E112" i="5"/>
  <c r="J111" i="5"/>
  <c r="H111" i="5"/>
  <c r="R111" i="5"/>
  <c r="E111" i="5"/>
  <c r="I111" i="5"/>
  <c r="F111" i="5"/>
  <c r="I110" i="5"/>
  <c r="F110" i="5"/>
  <c r="H110" i="5"/>
  <c r="R110" i="5"/>
  <c r="J110" i="5"/>
  <c r="E110" i="5"/>
  <c r="R109" i="5"/>
  <c r="J109" i="5"/>
  <c r="E109" i="5"/>
  <c r="I109" i="5"/>
  <c r="H109" i="5"/>
  <c r="F109" i="5"/>
  <c r="E103" i="5"/>
  <c r="X103" i="5" s="1"/>
  <c r="F107" i="5"/>
  <c r="H107" i="5"/>
  <c r="I107" i="5"/>
  <c r="R107" i="5"/>
  <c r="E107" i="5"/>
  <c r="J107" i="5"/>
  <c r="F103" i="5"/>
  <c r="E106" i="5"/>
  <c r="I106" i="5"/>
  <c r="F106" i="5"/>
  <c r="R106" i="5"/>
  <c r="H106" i="5"/>
  <c r="J106" i="5"/>
  <c r="F105" i="5"/>
  <c r="H105" i="5"/>
  <c r="R105" i="5"/>
  <c r="E105" i="5"/>
  <c r="J105" i="5"/>
  <c r="I105" i="5"/>
  <c r="H103" i="5"/>
  <c r="J103" i="5"/>
  <c r="R103" i="5"/>
  <c r="G103" i="5"/>
  <c r="G104" i="5"/>
  <c r="R104" i="5"/>
  <c r="I104" i="5"/>
  <c r="E104" i="5"/>
  <c r="J104" i="5"/>
  <c r="H104" i="5"/>
  <c r="F104" i="5"/>
  <c r="G101" i="5"/>
  <c r="H101" i="5"/>
  <c r="I101" i="5"/>
  <c r="G102" i="5"/>
  <c r="R102" i="5"/>
  <c r="J102" i="5"/>
  <c r="F102" i="5"/>
  <c r="I102" i="5"/>
  <c r="E102" i="5"/>
  <c r="H102" i="5"/>
  <c r="J101" i="5"/>
  <c r="R101" i="5"/>
  <c r="F101" i="5"/>
  <c r="H100" i="5"/>
  <c r="F100" i="5"/>
  <c r="E100" i="5"/>
  <c r="I100" i="5"/>
  <c r="J100" i="5"/>
  <c r="G100" i="5"/>
  <c r="R100" i="5"/>
  <c r="R99" i="5"/>
  <c r="J99" i="5"/>
  <c r="E99" i="5"/>
  <c r="I99" i="5"/>
  <c r="F99" i="5"/>
  <c r="H99" i="5"/>
  <c r="R98" i="5"/>
  <c r="H98" i="5"/>
  <c r="E98" i="5"/>
  <c r="I98" i="5"/>
  <c r="F98" i="5"/>
  <c r="J98" i="5"/>
  <c r="R97" i="5"/>
  <c r="F97" i="5"/>
  <c r="J97" i="5"/>
  <c r="E97" i="5"/>
  <c r="H97" i="5"/>
  <c r="I97" i="5"/>
  <c r="R96" i="5"/>
  <c r="F96" i="5"/>
  <c r="I96" i="5"/>
  <c r="E96" i="5"/>
  <c r="J96" i="5"/>
  <c r="H96" i="5"/>
  <c r="I95" i="5"/>
  <c r="E95" i="5"/>
  <c r="J95" i="5"/>
  <c r="H95" i="5"/>
  <c r="F95" i="5"/>
  <c r="R95" i="5"/>
  <c r="H91" i="5"/>
  <c r="R91" i="5"/>
  <c r="E91" i="5"/>
  <c r="I91" i="5"/>
  <c r="J91" i="5"/>
  <c r="F91" i="5"/>
  <c r="E94" i="5"/>
  <c r="F94" i="5"/>
  <c r="J94" i="5"/>
  <c r="R94" i="5"/>
  <c r="H94" i="5"/>
  <c r="I94" i="5"/>
  <c r="E93" i="5"/>
  <c r="J93" i="5"/>
  <c r="H93" i="5"/>
  <c r="R93" i="5"/>
  <c r="F93" i="5"/>
  <c r="I93" i="5"/>
  <c r="R92" i="5"/>
  <c r="I92" i="5"/>
  <c r="J92" i="5"/>
  <c r="H92" i="5"/>
  <c r="F92" i="5"/>
  <c r="E92" i="5"/>
  <c r="H90" i="5"/>
  <c r="E90" i="5"/>
  <c r="R90" i="5"/>
  <c r="F90" i="5"/>
  <c r="I90" i="5"/>
  <c r="J90" i="5"/>
  <c r="J89" i="5"/>
  <c r="R89" i="5"/>
  <c r="H89" i="5"/>
  <c r="E89" i="5"/>
  <c r="I89" i="5"/>
  <c r="F89" i="5"/>
  <c r="R88" i="5"/>
  <c r="F88" i="5"/>
  <c r="E88" i="5"/>
  <c r="J88" i="5"/>
  <c r="I88" i="5"/>
  <c r="H88" i="5"/>
  <c r="H87" i="5"/>
  <c r="F87" i="5"/>
  <c r="R87" i="5"/>
  <c r="E87" i="5"/>
  <c r="I87" i="5"/>
  <c r="J87" i="5"/>
  <c r="G87" i="5"/>
  <c r="H86" i="5"/>
  <c r="E86" i="5"/>
  <c r="R86" i="5"/>
  <c r="I86" i="5"/>
  <c r="F86" i="5"/>
  <c r="J86" i="5"/>
  <c r="R85" i="5"/>
  <c r="F85" i="5"/>
  <c r="J85" i="5"/>
  <c r="E85" i="5"/>
  <c r="H85" i="5"/>
  <c r="I85" i="5"/>
  <c r="R84" i="5"/>
  <c r="F84" i="5"/>
  <c r="I84" i="5"/>
  <c r="H84" i="5"/>
  <c r="E84" i="5"/>
  <c r="J84" i="5"/>
  <c r="R83" i="5"/>
  <c r="J83" i="5"/>
  <c r="I83" i="5"/>
  <c r="F83" i="5"/>
  <c r="E83" i="5"/>
  <c r="H83" i="5"/>
  <c r="R82" i="5"/>
  <c r="E82" i="5"/>
  <c r="H82" i="5"/>
  <c r="F82" i="5"/>
  <c r="J82" i="5"/>
  <c r="I82" i="5"/>
  <c r="R81" i="5"/>
  <c r="I81" i="5"/>
  <c r="E81" i="5"/>
  <c r="F81" i="5"/>
  <c r="J81" i="5"/>
  <c r="H81" i="5"/>
  <c r="R80" i="5"/>
  <c r="J80" i="5"/>
  <c r="E80" i="5"/>
  <c r="H80" i="5"/>
  <c r="F80" i="5"/>
  <c r="I80" i="5"/>
  <c r="F79" i="5"/>
  <c r="J79" i="5"/>
  <c r="E79" i="5"/>
  <c r="I79" i="5"/>
  <c r="R79" i="5"/>
  <c r="H79" i="5"/>
  <c r="R78" i="5"/>
  <c r="E78" i="5"/>
  <c r="H78" i="5"/>
  <c r="I78" i="5"/>
  <c r="F78" i="5"/>
  <c r="J78" i="5"/>
  <c r="F77" i="5"/>
  <c r="R77" i="5"/>
  <c r="I77" i="5"/>
  <c r="J77" i="5"/>
  <c r="E77" i="5"/>
  <c r="H77" i="5"/>
  <c r="R76" i="5"/>
  <c r="J76" i="5"/>
  <c r="H76" i="5"/>
  <c r="I76" i="5"/>
  <c r="F76" i="5"/>
  <c r="E76" i="5"/>
  <c r="R75" i="5"/>
  <c r="J75" i="5"/>
  <c r="H75" i="5"/>
  <c r="E75" i="5"/>
  <c r="I75" i="5"/>
  <c r="F75" i="5"/>
  <c r="E74" i="5"/>
  <c r="F74" i="5"/>
  <c r="I74" i="5"/>
  <c r="J74" i="5"/>
  <c r="R74" i="5"/>
  <c r="H74" i="5"/>
  <c r="I73" i="5"/>
  <c r="J73" i="5"/>
  <c r="H73" i="5"/>
  <c r="R73" i="5"/>
  <c r="E73" i="5"/>
  <c r="F73" i="5"/>
  <c r="H71" i="5"/>
  <c r="J71" i="5"/>
  <c r="I71" i="5"/>
  <c r="F71" i="5"/>
  <c r="G71" i="5"/>
  <c r="R71" i="5"/>
  <c r="E71" i="5"/>
  <c r="R72" i="5"/>
  <c r="J72" i="5"/>
  <c r="I72" i="5"/>
  <c r="H72" i="5"/>
  <c r="E72" i="5"/>
  <c r="F72" i="5"/>
  <c r="H70" i="5"/>
  <c r="R70" i="5"/>
  <c r="F70" i="5"/>
  <c r="I70" i="5"/>
  <c r="J70" i="5"/>
  <c r="E70" i="5"/>
  <c r="R69" i="5"/>
  <c r="H69" i="5"/>
  <c r="E69" i="5"/>
  <c r="F69" i="5"/>
  <c r="J69" i="5"/>
  <c r="I69" i="5"/>
  <c r="R68" i="5"/>
  <c r="J68" i="5"/>
  <c r="E68" i="5"/>
  <c r="I68" i="5"/>
  <c r="H68" i="5"/>
  <c r="F68" i="5"/>
  <c r="E67" i="5"/>
  <c r="I67" i="5"/>
  <c r="F67" i="5"/>
  <c r="H67" i="5"/>
  <c r="R67" i="5"/>
  <c r="J67" i="5"/>
  <c r="R66" i="5"/>
  <c r="E66" i="5"/>
  <c r="H66" i="5"/>
  <c r="F66" i="5"/>
  <c r="I66" i="5"/>
  <c r="J66" i="5"/>
  <c r="R65" i="5"/>
  <c r="J65" i="5"/>
  <c r="H65" i="5"/>
  <c r="E65" i="5"/>
  <c r="I65" i="5"/>
  <c r="F65" i="5"/>
  <c r="R64" i="5"/>
  <c r="J64" i="5"/>
  <c r="I64" i="5"/>
  <c r="H64" i="5"/>
  <c r="F64" i="5"/>
  <c r="E64" i="5"/>
  <c r="I63" i="5"/>
  <c r="F63" i="5"/>
  <c r="E63" i="5"/>
  <c r="J63" i="5"/>
  <c r="H63" i="5"/>
  <c r="R63" i="5"/>
  <c r="R62" i="5"/>
  <c r="E62" i="5"/>
  <c r="H62" i="5"/>
  <c r="F62" i="5"/>
  <c r="I62" i="5"/>
  <c r="J62" i="5"/>
  <c r="I61" i="5"/>
  <c r="J61" i="5"/>
  <c r="E61" i="5"/>
  <c r="H61" i="5"/>
  <c r="F61" i="5"/>
  <c r="R61" i="5"/>
  <c r="R60" i="5"/>
  <c r="F60" i="5"/>
  <c r="E60" i="5"/>
  <c r="H60" i="5"/>
  <c r="J60" i="5"/>
  <c r="I60" i="5"/>
  <c r="H59" i="5"/>
  <c r="I59" i="5"/>
  <c r="F59" i="5"/>
  <c r="J59" i="5"/>
  <c r="R59" i="5"/>
  <c r="E59" i="5"/>
  <c r="E58" i="5"/>
  <c r="I58" i="5"/>
  <c r="R58" i="5"/>
  <c r="F58" i="5"/>
  <c r="J58" i="5"/>
  <c r="H58" i="5"/>
  <c r="F57" i="5"/>
  <c r="J57" i="5"/>
  <c r="H57" i="5"/>
  <c r="R57" i="5"/>
  <c r="E57" i="5"/>
  <c r="I57" i="5"/>
  <c r="R56" i="5"/>
  <c r="H56" i="5"/>
  <c r="H55" i="5"/>
  <c r="E55" i="5"/>
  <c r="J55" i="5"/>
  <c r="I55" i="5"/>
  <c r="F55" i="5"/>
  <c r="R55" i="5"/>
  <c r="H54" i="5"/>
  <c r="F54" i="5"/>
  <c r="E54" i="5"/>
  <c r="J54" i="5"/>
  <c r="R54" i="5"/>
  <c r="I54" i="5"/>
  <c r="R53" i="5"/>
  <c r="E53" i="5"/>
  <c r="J53" i="5"/>
  <c r="H53" i="5"/>
  <c r="I53" i="5"/>
  <c r="F53" i="5"/>
  <c r="R52" i="5"/>
  <c r="J52" i="5"/>
  <c r="H52" i="5"/>
  <c r="F52" i="5"/>
  <c r="I52" i="5"/>
  <c r="E52" i="5"/>
  <c r="E51" i="5"/>
  <c r="I51" i="5"/>
  <c r="F51" i="5"/>
  <c r="H51" i="5"/>
  <c r="R51" i="5"/>
  <c r="J51" i="5"/>
  <c r="R50" i="5"/>
  <c r="H50" i="5"/>
  <c r="I50" i="5"/>
  <c r="F50" i="5"/>
  <c r="E50" i="5"/>
  <c r="J50" i="5"/>
  <c r="R49" i="5"/>
  <c r="H49" i="5"/>
  <c r="E49" i="5"/>
  <c r="I49" i="5"/>
  <c r="F49" i="5"/>
  <c r="J49" i="5"/>
  <c r="R48" i="5"/>
  <c r="I48" i="5"/>
  <c r="E48" i="5"/>
  <c r="J48" i="5"/>
  <c r="H48" i="5"/>
  <c r="F48" i="5"/>
  <c r="E47" i="5"/>
  <c r="I47" i="5"/>
  <c r="F47" i="5"/>
  <c r="R47" i="5"/>
  <c r="H47" i="5"/>
  <c r="J47" i="5"/>
  <c r="R46" i="5"/>
  <c r="E46" i="5"/>
  <c r="H46" i="5"/>
  <c r="I46" i="5"/>
  <c r="F46" i="5"/>
  <c r="J46" i="5"/>
  <c r="R45" i="5"/>
  <c r="J45" i="5"/>
  <c r="H45" i="5"/>
  <c r="E45" i="5"/>
  <c r="I45" i="5"/>
  <c r="F45" i="5"/>
  <c r="R44" i="5"/>
  <c r="F44" i="5"/>
  <c r="E44" i="5"/>
  <c r="I44" i="5"/>
  <c r="J44" i="5"/>
  <c r="H44" i="5"/>
  <c r="F43" i="5"/>
  <c r="H43" i="5"/>
  <c r="I43" i="5"/>
  <c r="E43" i="5"/>
  <c r="J43" i="5"/>
  <c r="R43" i="5"/>
  <c r="G43" i="5"/>
  <c r="E42" i="5"/>
  <c r="H42" i="5"/>
  <c r="F42" i="5"/>
  <c r="J42" i="5"/>
  <c r="I42" i="5"/>
  <c r="R42" i="5"/>
  <c r="F41" i="5"/>
  <c r="R41" i="5"/>
  <c r="E41" i="5"/>
  <c r="J41" i="5"/>
  <c r="I41" i="5"/>
  <c r="H41" i="5"/>
  <c r="R40" i="5"/>
  <c r="J40" i="5"/>
  <c r="E40" i="5"/>
  <c r="H40" i="5"/>
  <c r="I40" i="5"/>
  <c r="F40" i="5"/>
  <c r="H39" i="5"/>
  <c r="E39" i="5"/>
  <c r="R39" i="5"/>
  <c r="F39" i="5"/>
  <c r="I39" i="5"/>
  <c r="J39" i="5"/>
  <c r="H38" i="5"/>
  <c r="F38" i="5"/>
  <c r="J38" i="5"/>
  <c r="R38" i="5"/>
  <c r="I38" i="5"/>
  <c r="E38" i="5"/>
  <c r="R37" i="5"/>
  <c r="F37" i="5"/>
  <c r="J37" i="5"/>
  <c r="I37" i="5"/>
  <c r="E37" i="5"/>
  <c r="H37" i="5"/>
  <c r="R36" i="5"/>
  <c r="J36" i="5"/>
  <c r="E36" i="5"/>
  <c r="H36" i="5"/>
  <c r="F36" i="5"/>
  <c r="I36" i="5"/>
  <c r="J35" i="5"/>
  <c r="I35" i="5"/>
  <c r="F35" i="5"/>
  <c r="H35" i="5"/>
  <c r="E35" i="5"/>
  <c r="R35" i="5"/>
  <c r="R34" i="5"/>
  <c r="I34" i="5"/>
  <c r="E34" i="5"/>
  <c r="F34" i="5"/>
  <c r="J34" i="5"/>
  <c r="H34" i="5"/>
  <c r="R33" i="5"/>
  <c r="E33" i="5"/>
  <c r="J33" i="5"/>
  <c r="H33" i="5"/>
  <c r="I33" i="5"/>
  <c r="F33" i="5"/>
  <c r="R32" i="5"/>
  <c r="I32" i="5"/>
  <c r="E32" i="5"/>
  <c r="J32" i="5"/>
  <c r="H32" i="5"/>
  <c r="F32" i="5"/>
  <c r="J31" i="5"/>
  <c r="E31" i="5"/>
  <c r="R31" i="5"/>
  <c r="I31" i="5"/>
  <c r="F31" i="5"/>
  <c r="H31" i="5"/>
  <c r="I30" i="5"/>
  <c r="H30" i="5"/>
  <c r="J30" i="5"/>
  <c r="F30" i="5"/>
  <c r="E30" i="5"/>
  <c r="R30" i="5"/>
  <c r="H29" i="5"/>
  <c r="J29" i="5"/>
  <c r="R29" i="5"/>
  <c r="E29" i="5"/>
  <c r="F29" i="5"/>
  <c r="I29" i="5"/>
  <c r="E28" i="5"/>
  <c r="J28" i="5"/>
  <c r="I28" i="5"/>
  <c r="H28" i="5"/>
  <c r="F28" i="5"/>
  <c r="R28" i="5"/>
  <c r="R27" i="5"/>
  <c r="J27" i="5"/>
  <c r="I27" i="5"/>
  <c r="H27" i="5"/>
  <c r="E27" i="5"/>
  <c r="F27" i="5"/>
  <c r="I26" i="5"/>
  <c r="J26" i="5"/>
  <c r="R26" i="5"/>
  <c r="H26" i="5"/>
  <c r="E26" i="5"/>
  <c r="F26" i="5"/>
  <c r="E25" i="5"/>
  <c r="J25" i="5"/>
  <c r="R25" i="5"/>
  <c r="I25" i="5"/>
  <c r="H25" i="5"/>
  <c r="F25" i="5"/>
  <c r="R24" i="5"/>
  <c r="J24" i="5"/>
  <c r="H24" i="5"/>
  <c r="F24" i="5"/>
  <c r="I24" i="5"/>
  <c r="E24" i="5"/>
  <c r="H23" i="5"/>
  <c r="E23" i="5"/>
  <c r="J23" i="5"/>
  <c r="R23" i="5"/>
  <c r="I23" i="5"/>
  <c r="F23" i="5"/>
  <c r="I22" i="5"/>
  <c r="R22" i="5"/>
  <c r="H22" i="5"/>
  <c r="F22" i="5"/>
  <c r="J22" i="5"/>
  <c r="E22" i="5"/>
  <c r="I21" i="5"/>
  <c r="H21" i="5"/>
  <c r="J21" i="5"/>
  <c r="R21" i="5"/>
  <c r="F21" i="5"/>
  <c r="E21" i="5"/>
  <c r="R20" i="5"/>
  <c r="H20" i="5"/>
  <c r="J20" i="5"/>
  <c r="F20" i="5"/>
  <c r="E20" i="5"/>
  <c r="I20" i="5"/>
  <c r="J19" i="5"/>
  <c r="E19" i="5"/>
  <c r="I19" i="5"/>
  <c r="H19" i="5"/>
  <c r="F19" i="5"/>
  <c r="R19" i="5"/>
  <c r="I18" i="5"/>
  <c r="E18" i="5"/>
  <c r="F18" i="5"/>
  <c r="R18" i="5"/>
  <c r="J18" i="5"/>
  <c r="H18" i="5"/>
  <c r="R6" i="5"/>
  <c r="F6" i="5"/>
  <c r="J6" i="5"/>
  <c r="E6" i="5"/>
  <c r="H6" i="5"/>
  <c r="I6" i="5"/>
  <c r="H5" i="5"/>
  <c r="R5" i="5"/>
  <c r="E5" i="5"/>
  <c r="I5" i="5"/>
  <c r="J5" i="5"/>
  <c r="F5" i="5"/>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173" i="5"/>
  <c r="T149" i="5"/>
  <c r="T59" i="5"/>
  <c r="T223" i="5"/>
  <c r="T162" i="5"/>
  <c r="T19" i="5"/>
  <c r="T21" i="5"/>
  <c r="T37" i="5"/>
  <c r="S115" i="5"/>
  <c r="T177" i="5"/>
  <c r="T110" i="5"/>
  <c r="T182" i="5"/>
  <c r="T215" i="5"/>
  <c r="T171" i="5"/>
  <c r="T170" i="5"/>
  <c r="T56" i="5"/>
  <c r="T134" i="5"/>
  <c r="T85" i="5"/>
  <c r="T141" i="5"/>
  <c r="S200" i="5"/>
  <c r="T200" i="5"/>
  <c r="T25" i="5"/>
  <c r="T81" i="5"/>
  <c r="T34" i="5"/>
  <c r="T112" i="5"/>
  <c r="T196" i="5"/>
  <c r="T52" i="5"/>
  <c r="T44" i="5"/>
  <c r="T144" i="5"/>
  <c r="T138" i="5"/>
  <c r="T245" i="5"/>
  <c r="T36" i="5"/>
  <c r="T55" i="5"/>
  <c r="S168" i="5"/>
  <c r="S128" i="5"/>
  <c r="T160" i="5"/>
  <c r="S243" i="5"/>
  <c r="T123" i="5"/>
  <c r="T217" i="5"/>
  <c r="T119" i="5"/>
  <c r="T41" i="5"/>
  <c r="S151" i="5"/>
  <c r="T66" i="5"/>
  <c r="T178" i="5"/>
  <c r="T225" i="5"/>
  <c r="T11" i="5"/>
  <c r="T40" i="5"/>
  <c r="T60" i="5"/>
  <c r="S132" i="5"/>
  <c r="T127" i="5"/>
  <c r="S239" i="5"/>
  <c r="T91" i="5"/>
  <c r="T169" i="5"/>
  <c r="T199" i="5"/>
  <c r="T166" i="5"/>
  <c r="T165" i="5"/>
  <c r="T203" i="5"/>
  <c r="T61" i="5"/>
  <c r="T115" i="5"/>
  <c r="T64" i="5"/>
  <c r="T94" i="5"/>
  <c r="T208" i="5"/>
  <c r="T153" i="5"/>
  <c r="T83" i="5"/>
  <c r="S212" i="5"/>
  <c r="T193" i="5"/>
  <c r="T239" i="5"/>
  <c r="T143" i="5"/>
  <c r="T129" i="5"/>
  <c r="T100" i="5"/>
  <c r="T206" i="5"/>
  <c r="T132" i="5"/>
  <c r="T205" i="5"/>
  <c r="T161" i="5"/>
  <c r="T146" i="5"/>
  <c r="T211" i="5"/>
  <c r="S120" i="5"/>
  <c r="T117" i="5"/>
  <c r="T235" i="5"/>
  <c r="T92" i="5"/>
  <c r="S136" i="5"/>
  <c r="T179" i="5"/>
  <c r="T102" i="5"/>
  <c r="S216" i="5"/>
  <c r="T47" i="5"/>
  <c r="T43" i="5"/>
  <c r="T5" i="5"/>
  <c r="T58" i="5"/>
  <c r="T51" i="5"/>
  <c r="T214" i="5"/>
  <c r="T137" i="5"/>
  <c r="T33" i="5"/>
  <c r="T88" i="5"/>
  <c r="T71" i="5"/>
  <c r="T202" i="5"/>
  <c r="T228" i="5"/>
  <c r="T210" i="5"/>
  <c r="T24" i="5"/>
  <c r="T86" i="5"/>
  <c r="T96" i="5"/>
  <c r="T133" i="5"/>
  <c r="T148" i="5"/>
  <c r="S148" i="5"/>
  <c r="T23" i="5"/>
  <c r="T125" i="5"/>
  <c r="T221" i="5"/>
  <c r="T70" i="5"/>
  <c r="T50" i="5"/>
  <c r="T181" i="5"/>
  <c r="S152" i="5"/>
  <c r="T159" i="5"/>
  <c r="T120" i="5"/>
  <c r="T145" i="5"/>
  <c r="S103" i="5"/>
  <c r="T164" i="5"/>
  <c r="S244" i="5"/>
  <c r="T75" i="5"/>
  <c r="T12" i="5"/>
  <c r="T76" i="5"/>
  <c r="T103" i="5"/>
  <c r="T22" i="5"/>
  <c r="T222" i="5"/>
  <c r="T18" i="5"/>
  <c r="T42" i="5"/>
  <c r="T140" i="5"/>
  <c r="T80" i="5"/>
  <c r="T77" i="5"/>
  <c r="T65" i="5"/>
  <c r="S140" i="5"/>
  <c r="T227" i="5"/>
  <c r="T220" i="5"/>
  <c r="T113" i="5"/>
  <c r="T212" i="5"/>
  <c r="T128" i="5"/>
  <c r="T131" i="5"/>
  <c r="T68" i="5"/>
  <c r="T62" i="5"/>
  <c r="T242" i="5"/>
  <c r="T118" i="5"/>
  <c r="S71" i="5"/>
  <c r="T136" i="5"/>
  <c r="T116" i="5"/>
  <c r="T168" i="5"/>
  <c r="T57" i="5"/>
  <c r="T241" i="5"/>
  <c r="T218" i="5"/>
  <c r="T184" i="5"/>
  <c r="T183" i="5"/>
  <c r="T45" i="5"/>
  <c r="T82" i="5"/>
  <c r="S208" i="5"/>
  <c r="T185" i="5"/>
  <c r="T142" i="5"/>
  <c r="T230" i="5"/>
  <c r="T78" i="5"/>
  <c r="S228" i="5"/>
  <c r="T26" i="5"/>
  <c r="T174" i="5"/>
  <c r="T84" i="5"/>
  <c r="T46" i="5"/>
  <c r="S91" i="5"/>
  <c r="T16" i="5"/>
  <c r="T195" i="5"/>
  <c r="T197" i="5"/>
  <c r="T111" i="5"/>
  <c r="T213" i="5"/>
  <c r="T14" i="5"/>
  <c r="S196" i="5"/>
  <c r="T99" i="5"/>
  <c r="T7" i="5"/>
  <c r="T190" i="5"/>
  <c r="T194" i="5"/>
  <c r="T35" i="5"/>
  <c r="T87" i="5"/>
  <c r="T207" i="5"/>
  <c r="T49" i="5"/>
  <c r="T150" i="5"/>
  <c r="T114" i="5"/>
  <c r="T152" i="5"/>
  <c r="T126" i="5"/>
  <c r="S100" i="5"/>
  <c r="T53" i="5"/>
  <c r="T48" i="5"/>
  <c r="T236" i="5"/>
  <c r="T29" i="5"/>
  <c r="S240" i="5"/>
  <c r="T237" i="5"/>
  <c r="T233" i="5"/>
  <c r="S236" i="5"/>
  <c r="T238" i="5"/>
  <c r="T130" i="5"/>
  <c r="T157" i="5"/>
  <c r="T232" i="5"/>
  <c r="T216" i="5"/>
  <c r="T67" i="5"/>
  <c r="T9" i="5"/>
  <c r="T198" i="5"/>
  <c r="T155" i="5"/>
  <c r="T191" i="5"/>
  <c r="T98" i="5"/>
  <c r="T105" i="5"/>
  <c r="T63" i="5"/>
  <c r="T30" i="5"/>
  <c r="T95" i="5"/>
  <c r="T79" i="5"/>
  <c r="T122" i="5"/>
  <c r="T106" i="5"/>
  <c r="T97" i="5"/>
  <c r="T139" i="5"/>
  <c r="T54" i="5"/>
  <c r="T186" i="5"/>
  <c r="T246" i="5"/>
  <c r="T175" i="5"/>
  <c r="T244" i="5"/>
  <c r="T231" i="5"/>
  <c r="T101" i="5"/>
  <c r="T226" i="5"/>
  <c r="T10" i="5"/>
  <c r="T187" i="5"/>
  <c r="T167" i="5"/>
  <c r="T180" i="5"/>
  <c r="T201" i="5"/>
  <c r="T243" i="5"/>
  <c r="T109" i="5"/>
  <c r="T234" i="5"/>
  <c r="T8" i="5"/>
  <c r="T28" i="5"/>
  <c r="S116" i="5"/>
  <c r="T90" i="5"/>
  <c r="T240" i="5"/>
  <c r="T224" i="5"/>
  <c r="T38" i="5"/>
  <c r="S161" i="5"/>
  <c r="T219" i="5"/>
  <c r="T229" i="5"/>
  <c r="S194" i="5"/>
  <c r="T135" i="5"/>
  <c r="T93" i="5"/>
  <c r="T32" i="5"/>
  <c r="T158" i="5"/>
  <c r="T104" i="5"/>
  <c r="T73" i="5"/>
  <c r="T151" i="5"/>
  <c r="T209" i="5"/>
  <c r="T13" i="5"/>
  <c r="T72" i="5"/>
  <c r="T6" i="5"/>
  <c r="T39" i="5"/>
  <c r="T27" i="5"/>
  <c r="T154" i="5"/>
  <c r="T15" i="5"/>
  <c r="T107" i="5"/>
  <c r="T69" i="5"/>
  <c r="S144" i="5"/>
  <c r="S224" i="5"/>
  <c r="T74" i="5"/>
  <c r="S191" i="5"/>
  <c r="T121" i="5"/>
  <c r="T89" i="5"/>
  <c r="T20" i="5"/>
  <c r="S201" i="5"/>
  <c r="T31" i="5"/>
  <c r="T17" i="5"/>
  <c r="X206" i="5" l="1"/>
  <c r="X158" i="5"/>
  <c r="X155" i="5"/>
  <c r="X239" i="5"/>
  <c r="X56" i="5"/>
  <c r="X246" i="5"/>
  <c r="X245" i="5"/>
  <c r="X243" i="5"/>
  <c r="X244" i="5"/>
  <c r="X242" i="5"/>
  <c r="X240" i="5"/>
  <c r="X241" i="5"/>
  <c r="X236" i="5"/>
  <c r="X238" i="5"/>
  <c r="X237" i="5"/>
  <c r="X235" i="5"/>
  <c r="X234" i="5"/>
  <c r="X233" i="5"/>
  <c r="X232" i="5"/>
  <c r="X231" i="5"/>
  <c r="X228" i="5"/>
  <c r="X230" i="5"/>
  <c r="X229" i="5"/>
  <c r="X227" i="5"/>
  <c r="X226" i="5"/>
  <c r="X224" i="5"/>
  <c r="X225" i="5"/>
  <c r="X223" i="5"/>
  <c r="X222" i="5"/>
  <c r="X221" i="5"/>
  <c r="X220" i="5"/>
  <c r="X219" i="5"/>
  <c r="X216" i="5"/>
  <c r="X218" i="5"/>
  <c r="X217" i="5"/>
  <c r="X215" i="5"/>
  <c r="X214" i="5"/>
  <c r="X212" i="5"/>
  <c r="X213" i="5"/>
  <c r="X211" i="5"/>
  <c r="X208" i="5"/>
  <c r="X210" i="5"/>
  <c r="X209" i="5"/>
  <c r="X207" i="5"/>
  <c r="C68" i="6"/>
  <c r="X205" i="5"/>
  <c r="X203" i="5"/>
  <c r="X200" i="5"/>
  <c r="X202" i="5"/>
  <c r="X201" i="5"/>
  <c r="X199" i="5"/>
  <c r="X198" i="5"/>
  <c r="X197" i="5"/>
  <c r="X196" i="5"/>
  <c r="X194" i="5"/>
  <c r="X195" i="5"/>
  <c r="X193" i="5"/>
  <c r="X191" i="5"/>
  <c r="X190" i="5"/>
  <c r="X187" i="5"/>
  <c r="X186" i="5"/>
  <c r="X185" i="5"/>
  <c r="X184" i="5"/>
  <c r="X183" i="5"/>
  <c r="X182" i="5"/>
  <c r="X181" i="5"/>
  <c r="X180" i="5"/>
  <c r="X179" i="5"/>
  <c r="X178" i="5"/>
  <c r="X177" i="5"/>
  <c r="X175" i="5"/>
  <c r="X174" i="5"/>
  <c r="X173" i="5"/>
  <c r="X171" i="5"/>
  <c r="X170" i="5"/>
  <c r="X168" i="5"/>
  <c r="X169" i="5"/>
  <c r="X167" i="5"/>
  <c r="X166" i="5"/>
  <c r="X165" i="5"/>
  <c r="X164" i="5"/>
  <c r="X162" i="5"/>
  <c r="X160" i="5"/>
  <c r="X159" i="5"/>
  <c r="X157" i="5"/>
  <c r="X154" i="5"/>
  <c r="X152" i="5"/>
  <c r="X151" i="5"/>
  <c r="X153" i="5"/>
  <c r="X148" i="5"/>
  <c r="X150" i="5"/>
  <c r="X149" i="5"/>
  <c r="X146" i="5"/>
  <c r="X145" i="5"/>
  <c r="X144" i="5"/>
  <c r="X143" i="5"/>
  <c r="X142" i="5"/>
  <c r="X141" i="5"/>
  <c r="X136" i="5"/>
  <c r="X140" i="5"/>
  <c r="X139" i="5"/>
  <c r="X138" i="5"/>
  <c r="X137" i="5"/>
  <c r="X135" i="5"/>
  <c r="X134" i="5"/>
  <c r="X132" i="5"/>
  <c r="X133" i="5"/>
  <c r="X131" i="5"/>
  <c r="X130" i="5"/>
  <c r="X128" i="5"/>
  <c r="X129" i="5"/>
  <c r="X127" i="5"/>
  <c r="X126" i="5"/>
  <c r="X125" i="5"/>
  <c r="X120" i="5"/>
  <c r="X123" i="5"/>
  <c r="X122" i="5"/>
  <c r="X121" i="5"/>
  <c r="X119" i="5"/>
  <c r="X118" i="5"/>
  <c r="X116" i="5"/>
  <c r="X117" i="5"/>
  <c r="X115" i="5"/>
  <c r="X114" i="5"/>
  <c r="X113" i="5"/>
  <c r="X112" i="5"/>
  <c r="X111" i="5"/>
  <c r="X110" i="5"/>
  <c r="X109" i="5"/>
  <c r="X107" i="5"/>
  <c r="X106" i="5"/>
  <c r="X105" i="5"/>
  <c r="X104" i="5"/>
  <c r="X100" i="5"/>
  <c r="X102" i="5"/>
  <c r="X99" i="5"/>
  <c r="X98" i="5"/>
  <c r="X97" i="5"/>
  <c r="X96" i="5"/>
  <c r="X95" i="5"/>
  <c r="X91" i="5"/>
  <c r="X94" i="5"/>
  <c r="X93" i="5"/>
  <c r="X92" i="5"/>
  <c r="X90" i="5"/>
  <c r="X89" i="5"/>
  <c r="X88" i="5"/>
  <c r="X87" i="5"/>
  <c r="X86" i="5"/>
  <c r="X85" i="5"/>
  <c r="X84" i="5"/>
  <c r="X83" i="5"/>
  <c r="X82" i="5"/>
  <c r="X81" i="5"/>
  <c r="X80" i="5"/>
  <c r="X79" i="5"/>
  <c r="X78" i="5"/>
  <c r="X77" i="5"/>
  <c r="X76" i="5"/>
  <c r="X75" i="5"/>
  <c r="X74" i="5"/>
  <c r="X73" i="5"/>
  <c r="X71" i="5"/>
  <c r="X72" i="5"/>
  <c r="X70" i="5"/>
  <c r="X69" i="5"/>
  <c r="X68" i="5"/>
  <c r="X67" i="5"/>
  <c r="X66" i="5"/>
  <c r="X65" i="5"/>
  <c r="X64" i="5"/>
  <c r="X63" i="5"/>
  <c r="X62" i="5"/>
  <c r="X61" i="5"/>
  <c r="X60" i="5"/>
  <c r="X59" i="5"/>
  <c r="X58" i="5"/>
  <c r="X57" i="5"/>
  <c r="X55" i="5"/>
  <c r="X54" i="5"/>
  <c r="X53" i="5"/>
  <c r="X52" i="5"/>
  <c r="X51" i="5"/>
  <c r="X50"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6" i="5"/>
  <c r="X5" i="5"/>
  <c r="X13" i="5"/>
  <c r="X10" i="5"/>
  <c r="D65" i="6"/>
  <c r="X9" i="5"/>
  <c r="X12" i="5"/>
  <c r="X14" i="5"/>
  <c r="X17" i="5"/>
  <c r="D66" i="6"/>
  <c r="C67" i="6"/>
  <c r="X11" i="5"/>
  <c r="X15" i="5"/>
  <c r="X8" i="5"/>
  <c r="X7" i="5"/>
  <c r="G69" i="6"/>
  <c r="H69" i="6" s="1"/>
  <c r="H70" i="6" s="1"/>
  <c r="D2" i="6" s="1"/>
  <c r="X16" i="5"/>
  <c r="D55" i="6"/>
  <c r="C55" i="6"/>
  <c r="D56" i="6"/>
  <c r="C56" i="6"/>
  <c r="S78" i="5"/>
  <c r="S105" i="5"/>
  <c r="S60" i="5"/>
  <c r="S157" i="5"/>
  <c r="S59" i="5"/>
  <c r="S44" i="5"/>
  <c r="S232" i="5"/>
  <c r="S119" i="5"/>
  <c r="S64" i="5"/>
  <c r="S23" i="5"/>
  <c r="S131" i="5"/>
  <c r="S25" i="5"/>
  <c r="S181" i="5"/>
  <c r="S76" i="5"/>
  <c r="S27" i="5"/>
  <c r="S122" i="5"/>
  <c r="S85" i="5"/>
  <c r="S77" i="5"/>
  <c r="S47" i="5"/>
  <c r="S33" i="5"/>
  <c r="S138" i="5"/>
  <c r="S149" i="5"/>
  <c r="S174" i="5"/>
  <c r="S180" i="5"/>
  <c r="S81" i="5"/>
  <c r="S117" i="5"/>
  <c r="S98" i="5"/>
  <c r="S68" i="5"/>
  <c r="S139" i="5"/>
  <c r="S111" i="5"/>
  <c r="S9" i="5"/>
  <c r="S222" i="5"/>
  <c r="S97" i="5"/>
  <c r="S90" i="5"/>
  <c r="S143" i="5"/>
  <c r="S29" i="5"/>
  <c r="S206" i="5"/>
  <c r="S230" i="5"/>
  <c r="S202" i="5"/>
  <c r="S38" i="5"/>
  <c r="S142" i="5"/>
  <c r="S69" i="5"/>
  <c r="S21" i="5"/>
  <c r="S129" i="5"/>
  <c r="S18" i="5"/>
  <c r="S114" i="5"/>
  <c r="S130" i="5"/>
  <c r="S55" i="5"/>
  <c r="S32" i="5"/>
  <c r="S61" i="5"/>
  <c r="S83" i="5"/>
  <c r="S197" i="5"/>
  <c r="S54" i="5"/>
  <c r="S14" i="5"/>
  <c r="S99" i="5"/>
  <c r="S19" i="5"/>
  <c r="S45" i="5"/>
  <c r="S75" i="5"/>
  <c r="S238" i="5"/>
  <c r="S141" i="5"/>
  <c r="S52" i="5"/>
  <c r="S96" i="5"/>
  <c r="S11" i="5"/>
  <c r="S16" i="5"/>
  <c r="S8" i="5"/>
  <c r="S65" i="5"/>
  <c r="S165" i="5"/>
  <c r="S186" i="5"/>
  <c r="S167" i="5"/>
  <c r="S211" i="5"/>
  <c r="S207" i="5"/>
  <c r="S237" i="5"/>
  <c r="S43" i="5"/>
  <c r="S30" i="5"/>
  <c r="S110" i="5"/>
  <c r="S226" i="5"/>
  <c r="S49" i="5"/>
  <c r="S93" i="5"/>
  <c r="S88" i="5"/>
  <c r="S50" i="5"/>
  <c r="S67" i="5"/>
  <c r="S39" i="5"/>
  <c r="S175" i="5"/>
  <c r="S6" i="5"/>
  <c r="S113" i="5"/>
  <c r="S17" i="5"/>
  <c r="S70" i="5"/>
  <c r="S86" i="5"/>
  <c r="S92" i="5"/>
  <c r="S48" i="5"/>
  <c r="S126" i="5"/>
  <c r="S12" i="5"/>
  <c r="S137" i="5"/>
  <c r="S190" i="5"/>
  <c r="S22" i="5"/>
  <c r="S134" i="5"/>
  <c r="S63" i="5"/>
  <c r="S24" i="5"/>
  <c r="S133" i="5"/>
  <c r="S79" i="5"/>
  <c r="S242" i="5"/>
  <c r="S87" i="5"/>
  <c r="S26" i="5"/>
  <c r="S135" i="5"/>
  <c r="S106" i="5"/>
  <c r="S127" i="5"/>
  <c r="S56" i="5"/>
  <c r="S37" i="5"/>
  <c r="S154" i="5"/>
  <c r="S215" i="5"/>
  <c r="S209" i="5"/>
  <c r="S109" i="5"/>
  <c r="S72" i="5"/>
  <c r="S7" i="5"/>
  <c r="S171" i="5"/>
  <c r="S205" i="5"/>
  <c r="S234" i="5"/>
  <c r="S118" i="5"/>
  <c r="S217" i="5"/>
  <c r="S121" i="5"/>
  <c r="S40" i="5"/>
  <c r="S164" i="5"/>
  <c r="S195" i="5"/>
  <c r="S227" i="5"/>
  <c r="S158" i="5"/>
  <c r="S62" i="5"/>
  <c r="S80" i="5"/>
  <c r="S153" i="5"/>
  <c r="S184" i="5"/>
  <c r="S220" i="5"/>
  <c r="S241" i="5"/>
  <c r="S155" i="5"/>
  <c r="S20" i="5"/>
  <c r="S185" i="5"/>
  <c r="S221" i="5"/>
  <c r="S125" i="5"/>
  <c r="S89" i="5"/>
  <c r="S53" i="5"/>
  <c r="S84" i="5"/>
  <c r="S179" i="5"/>
  <c r="S214" i="5"/>
  <c r="S245" i="5"/>
  <c r="S57" i="5"/>
  <c r="S36" i="5"/>
  <c r="S94" i="5"/>
  <c r="S31" i="5"/>
  <c r="S15" i="5"/>
  <c r="S102" i="5"/>
  <c r="S146" i="5"/>
  <c r="S150" i="5"/>
  <c r="S183" i="5"/>
  <c r="S210" i="5"/>
  <c r="S46" i="5"/>
  <c r="S42" i="5"/>
  <c r="S145" i="5"/>
  <c r="S28" i="5"/>
  <c r="S107" i="5"/>
  <c r="S177" i="5"/>
  <c r="S199" i="5"/>
  <c r="S95" i="5"/>
  <c r="S213" i="5"/>
  <c r="S112" i="5"/>
  <c r="S66" i="5"/>
  <c r="S169" i="5"/>
  <c r="S187" i="5"/>
  <c r="S198" i="5"/>
  <c r="S104" i="5"/>
  <c r="S73" i="5"/>
  <c r="S170" i="5"/>
  <c r="S203" i="5"/>
  <c r="S225" i="5"/>
  <c r="S231" i="5"/>
  <c r="S159" i="5"/>
  <c r="S35" i="5"/>
  <c r="S162" i="5"/>
  <c r="S193" i="5"/>
  <c r="S218" i="5"/>
  <c r="S223" i="5"/>
  <c r="S13" i="5"/>
  <c r="S82" i="5"/>
  <c r="S160" i="5"/>
  <c r="S5" i="5"/>
  <c r="S166" i="5"/>
  <c r="S173" i="5"/>
  <c r="S123" i="5"/>
  <c r="S41" i="5"/>
  <c r="S58" i="5"/>
  <c r="S219" i="5"/>
  <c r="S10" i="5"/>
  <c r="S233" i="5"/>
  <c r="S178" i="5"/>
  <c r="S246" i="5"/>
  <c r="S229" i="5"/>
  <c r="S235" i="5"/>
  <c r="S182" i="5"/>
  <c r="S51" i="5"/>
  <c r="S74" i="5"/>
  <c r="S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<sst xmlns="http://schemas.openxmlformats.org/spreadsheetml/2006/main" count="22285" uniqueCount="15587">
  <si>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</si>
  <si>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</si>
  <si>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</si>
  <si>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</si>
  <si>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</si>
  <si>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</si>
  <si>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</si>
  <si>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</si>
  <si>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</si>
  <si>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</si>
  <si>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</si>
  <si>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</si>
  <si>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</si>
  <si>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</si>
  <si>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</si>
  <si>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</si>
  <si>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</si>
  <si>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</si>
  <si>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</si>
  <si>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</si>
  <si>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</si>
  <si>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</si>
  <si>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</si>
  <si>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</si>
  <si>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</si>
  <si>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</si>
  <si>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</si>
  <si>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</si>
  <si>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</si>
  <si>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</si>
  <si>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</si>
  <si>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</si>
  <si>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</si>
  <si>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</si>
  <si>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</si>
  <si>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</si>
  <si>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</si>
  <si>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</si>
  <si>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</si>
  <si>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</si>
  <si>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</si>
  <si>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</si>
  <si>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</si>
  <si>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</si>
  <si>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</si>
  <si>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</si>
  <si>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</si>
  <si>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</si>
  <si>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</si>
  <si>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</si>
  <si>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</si>
  <si>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</si>
  <si>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</si>
  <si>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</si>
  <si>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</si>
  <si>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</si>
  <si>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</si>
  <si>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</si>
  <si>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</si>
  <si>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</si>
  <si>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</si>
  <si>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</si>
  <si>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</si>
  <si>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</si>
  <si>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</si>
  <si>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</si>
  <si>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</si>
  <si>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</si>
  <si>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</si>
  <si>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</si>
  <si>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</si>
  <si>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</si>
  <si>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</si>
  <si>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</si>
  <si>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</si>
  <si>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</si>
  <si>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</si>
  <si>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</si>
  <si>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</si>
  <si>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</si>
  <si>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</si>
  <si>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</si>
  <si>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</si>
  <si>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</si>
  <si>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</si>
  <si>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</si>
  <si>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</si>
  <si>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</si>
  <si>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</si>
  <si>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</si>
  <si>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</si>
  <si>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</si>
  <si>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</si>
  <si>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</si>
  <si>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</si>
  <si>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</si>
  <si>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</si>
  <si>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</si>
  <si>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</si>
  <si>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</si>
  <si>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</si>
  <si>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</si>
  <si>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</si>
  <si>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</si>
  <si>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</si>
  <si>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</si>
  <si>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</si>
  <si>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</si>
  <si>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</si>
  <si>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</si>
  <si>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</si>
  <si>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</si>
  <si>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</si>
  <si>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</si>
  <si>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</si>
  <si>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</si>
  <si>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</si>
  <si>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</si>
  <si>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</si>
  <si>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</si>
  <si>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</si>
  <si>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</si>
  <si>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</si>
  <si>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</si>
  <si>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</si>
  <si>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</si>
  <si>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</si>
  <si>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</si>
  <si>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</si>
  <si>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</si>
  <si>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</si>
  <si>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</si>
  <si>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</si>
  <si>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</si>
  <si>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</si>
  <si>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</si>
  <si>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</si>
  <si>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</si>
  <si>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</si>
  <si>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</si>
  <si>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</si>
  <si>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</si>
  <si>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</si>
  <si>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</si>
  <si>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</si>
  <si>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</si>
  <si>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</si>
  <si>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</si>
  <si>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</si>
  <si>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</si>
  <si>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</si>
  <si>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</si>
  <si>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</si>
  <si>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</si>
  <si>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</si>
  <si>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</si>
  <si>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</si>
  <si>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</si>
  <si>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</si>
  <si>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</si>
  <si>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</si>
  <si>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</si>
  <si>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</si>
  <si>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</si>
  <si>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</si>
  <si>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</si>
  <si>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</si>
  <si>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</si>
  <si>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</si>
  <si>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</si>
  <si>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</si>
  <si>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</si>
  <si>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</si>
  <si>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</si>
  <si>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</si>
  <si>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</si>
  <si>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</si>
  <si>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</si>
  <si>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</si>
  <si>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</si>
  <si>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</si>
  <si>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</si>
  <si>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</si>
  <si>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</si>
  <si>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</si>
  <si>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</si>
  <si>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</si>
  <si>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</si>
  <si>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</si>
  <si>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</si>
  <si>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</si>
  <si>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</si>
  <si>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</si>
  <si>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</si>
  <si>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</si>
  <si>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</si>
  <si>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</si>
  <si>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</si>
  <si>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</si>
  <si>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</si>
  <si>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</si>
  <si>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</si>
  <si>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</si>
  <si>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</si>
  <si>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</si>
  <si>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</si>
  <si>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</si>
  <si>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</si>
  <si>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</si>
  <si>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</si>
  <si>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</si>
  <si>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</si>
  <si>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</si>
  <si>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</si>
  <si>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</si>
  <si>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</si>
  <si>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</si>
  <si>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</si>
  <si>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</si>
  <si>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</si>
  <si>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</si>
  <si>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</si>
  <si>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</si>
  <si>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</si>
  <si>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</si>
  <si>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</si>
  <si>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</si>
  <si>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</si>
  <si>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</si>
  <si>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</si>
  <si>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</si>
  <si>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</si>
  <si>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</si>
  <si>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</si>
  <si>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</si>
  <si>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</si>
  <si>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</si>
  <si>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</si>
  <si>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</si>
  <si>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</si>
  <si>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</si>
  <si>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</si>
  <si>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</si>
  <si>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</si>
  <si>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</si>
  <si>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</si>
  <si>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</si>
  <si>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</si>
  <si>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</si>
  <si>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</si>
  <si>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</si>
  <si>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</si>
  <si>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</si>
  <si>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</si>
  <si>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</si>
  <si>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</si>
  <si>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</si>
  <si>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</si>
  <si>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</si>
  <si>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</si>
  <si>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</si>
  <si>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</si>
  <si>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</si>
  <si>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</si>
  <si>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</si>
  <si>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</si>
  <si>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</si>
  <si>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</si>
  <si>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</si>
  <si>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</si>
  <si>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</si>
  <si>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</si>
  <si>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</si>
  <si>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</si>
  <si>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</si>
  <si>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</si>
  <si>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</si>
  <si>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</si>
  <si>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</si>
  <si>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</si>
  <si>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</si>
  <si>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</si>
  <si>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</si>
  <si>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</si>
  <si>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</si>
  <si>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</si>
  <si>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</si>
  <si>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</si>
  <si>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</si>
  <si>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</si>
  <si>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</si>
  <si>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</si>
  <si>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</si>
  <si>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</si>
  <si>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</si>
  <si>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</si>
  <si>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</si>
  <si>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</si>
  <si>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</si>
  <si>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</si>
  <si>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</si>
  <si>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</si>
  <si>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</si>
  <si>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</si>
  <si>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</si>
  <si>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</si>
  <si>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</si>
  <si>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</si>
  <si>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</si>
  <si>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</si>
  <si>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</si>
  <si>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</si>
  <si>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</si>
  <si>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</si>
  <si>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</si>
  <si>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</si>
  <si>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</si>
  <si>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</si>
  <si>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</si>
  <si>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</si>
  <si>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</si>
  <si>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</si>
  <si>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</si>
  <si>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</si>
  <si>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</si>
  <si>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</si>
  <si>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</si>
  <si>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</si>
  <si>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</si>
  <si>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</si>
  <si>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</si>
  <si>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</si>
  <si>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</si>
  <si>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</si>
  <si>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</si>
  <si>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</si>
  <si>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</si>
  <si>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</si>
  <si>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</si>
  <si>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</si>
  <si>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</si>
  <si>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</si>
  <si>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</si>
  <si>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</si>
  <si>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</si>
  <si>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</si>
  <si>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</si>
  <si>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</si>
  <si>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</si>
  <si>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</si>
  <si>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</si>
  <si>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</si>
  <si>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</si>
  <si>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</si>
  <si>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</si>
  <si>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</si>
  <si>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</si>
  <si>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</si>
  <si>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</si>
  <si>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</si>
  <si>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</si>
  <si>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</si>
  <si>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</si>
  <si>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</si>
  <si>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</si>
  <si>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</si>
  <si>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</si>
  <si>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</si>
  <si>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</si>
  <si>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</si>
  <si>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</si>
  <si>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</si>
  <si>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</si>
  <si>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</si>
  <si>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</si>
  <si>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</si>
  <si>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</si>
  <si>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</si>
  <si>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</si>
  <si>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</si>
  <si>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</si>
  <si>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</si>
  <si>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</si>
  <si>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</si>
  <si>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</si>
  <si>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</si>
  <si>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</si>
  <si>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</si>
  <si>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</si>
  <si>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</si>
  <si>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</si>
  <si>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</si>
  <si>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</si>
  <si>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</si>
  <si>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</si>
  <si>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</si>
  <si>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</si>
  <si>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</si>
  <si>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</si>
  <si>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</si>
  <si>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</si>
  <si>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</si>
  <si>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</si>
  <si>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</si>
  <si>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</si>
  <si>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</si>
  <si>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</si>
  <si>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</si>
  <si>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</si>
  <si>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</si>
  <si>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</si>
  <si>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</si>
  <si>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</si>
  <si>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</si>
  <si>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</si>
  <si>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</si>
  <si>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</si>
  <si>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</si>
  <si>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</si>
  <si>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</si>
  <si>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</si>
  <si>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</si>
  <si>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</si>
  <si>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</si>
  <si>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</si>
  <si>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</si>
  <si>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</si>
  <si>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</si>
  <si>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</si>
  <si>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</si>
  <si>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</si>
  <si>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</si>
  <si>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</si>
  <si>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</si>
  <si>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</si>
  <si>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</si>
  <si>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</si>
  <si>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</si>
  <si>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</si>
  <si>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</si>
  <si>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</si>
  <si>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</si>
  <si>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</si>
  <si>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</si>
  <si>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</si>
  <si>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</si>
  <si>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</si>
  <si>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</si>
  <si>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</si>
  <si>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</si>
  <si>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</si>
  <si>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</si>
  <si>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</si>
  <si>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</si>
  <si>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</si>
  <si>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</si>
  <si>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</si>
  <si>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</si>
  <si>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</si>
  <si>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</si>
  <si>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</si>
  <si>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</si>
  <si>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</si>
  <si>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</si>
  <si>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</si>
  <si>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</si>
  <si>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</si>
  <si>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</si>
  <si>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</si>
  <si>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</si>
  <si>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</si>
  <si>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</si>
  <si>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</si>
  <si>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</si>
  <si>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</si>
  <si>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</si>
  <si>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</si>
  <si>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</si>
  <si>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</si>
  <si>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</si>
  <si>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</si>
  <si>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</si>
  <si>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</si>
  <si>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</si>
  <si>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</si>
  <si>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</si>
  <si>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</si>
  <si>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</si>
  <si>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</si>
  <si>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</si>
  <si>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</si>
  <si>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</si>
  <si>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</si>
  <si>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</si>
  <si>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</si>
  <si>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</si>
  <si>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</si>
  <si>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</si>
  <si>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</si>
  <si>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</si>
  <si>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</si>
  <si>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</si>
  <si>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</si>
  <si>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</si>
  <si>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</si>
  <si>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</si>
  <si>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</si>
  <si>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</si>
  <si>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</si>
  <si>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</si>
  <si>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</si>
  <si>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</si>
  <si>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</si>
  <si>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</si>
  <si>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</si>
  <si>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</si>
  <si>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</si>
  <si>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</si>
  <si>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</si>
  <si>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</si>
  <si>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</si>
  <si>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</si>
  <si>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</si>
  <si>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</si>
  <si>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</si>
  <si>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</si>
  <si>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</si>
  <si>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</si>
  <si>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</si>
  <si>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</si>
  <si>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</si>
  <si>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</si>
  <si>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</si>
  <si>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</si>
  <si>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</si>
  <si>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</si>
  <si>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</si>
  <si>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</si>
  <si>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</si>
  <si>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</si>
  <si>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</si>
  <si>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</si>
  <si>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</si>
  <si>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</si>
  <si>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</si>
  <si>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</si>
  <si>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</si>
  <si>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</si>
  <si>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</si>
  <si>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</si>
  <si>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</si>
  <si>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</si>
  <si>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</si>
  <si>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</si>
  <si>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</si>
  <si>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</si>
  <si>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</si>
  <si>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</si>
  <si>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</si>
  <si>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</si>
  <si>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</si>
  <si>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</si>
  <si>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</si>
  <si>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</si>
  <si>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</si>
  <si>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</si>
  <si>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</si>
  <si>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</si>
  <si>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</si>
  <si>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</si>
  <si>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</si>
  <si>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</si>
  <si>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</si>
  <si>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</si>
  <si>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</si>
  <si>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</si>
  <si>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</si>
  <si>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</si>
  <si>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</si>
  <si>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</si>
  <si>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</si>
  <si>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</si>
  <si>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</si>
  <si>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</si>
  <si>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</si>
  <si>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</si>
  <si>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</si>
  <si>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</si>
  <si>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</si>
  <si>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</si>
  <si>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</si>
  <si>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</si>
  <si>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</si>
  <si>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</si>
  <si>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</si>
  <si>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</si>
  <si>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</si>
  <si>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</si>
  <si>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</si>
  <si>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</si>
  <si>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</si>
  <si>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</si>
  <si>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</si>
  <si>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</si>
  <si>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</si>
  <si>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</si>
  <si>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</si>
  <si>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</si>
  <si>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</si>
  <si>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</si>
  <si>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</si>
  <si>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</si>
  <si>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</si>
  <si>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</si>
  <si>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</si>
  <si>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</si>
  <si>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</si>
  <si>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</si>
  <si>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</si>
  <si>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</si>
  <si>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</si>
  <si>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</si>
  <si>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</si>
  <si>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</si>
  <si>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</si>
  <si>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</si>
  <si>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</si>
  <si>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</si>
  <si>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</si>
  <si>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</si>
  <si>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</si>
  <si>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</si>
  <si>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</si>
  <si>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</si>
  <si>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</si>
  <si>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</si>
  <si>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</si>
  <si>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</si>
  <si>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</si>
  <si>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</si>
  <si>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</si>
  <si>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</si>
  <si>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</si>
  <si>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</si>
  <si>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</si>
  <si>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</si>
  <si>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</si>
  <si>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</si>
  <si>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</si>
  <si>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</si>
  <si>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</si>
  <si>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</si>
  <si>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</si>
  <si>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</si>
  <si>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</si>
  <si>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</si>
  <si>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</si>
  <si>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</si>
  <si>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</si>
  <si>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</si>
  <si>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</si>
  <si>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</si>
  <si>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</si>
  <si>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</si>
  <si>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</si>
  <si>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</si>
  <si>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</si>
  <si>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</si>
  <si>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</si>
  <si>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</si>
  <si>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</si>
  <si>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</si>
  <si>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</si>
  <si>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</si>
  <si>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</si>
  <si>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</si>
  <si>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</si>
  <si>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</si>
  <si>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</si>
  <si>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</si>
  <si>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</si>
  <si>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</si>
  <si>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</si>
  <si>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</si>
  <si>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</si>
  <si>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</si>
  <si>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</si>
  <si>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</si>
  <si>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</si>
  <si>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</si>
  <si>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</si>
  <si>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</si>
  <si>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</si>
  <si>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</si>
  <si>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</si>
  <si>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</si>
  <si>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</si>
  <si>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</si>
  <si>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</si>
  <si>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</si>
  <si>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</si>
  <si>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</si>
  <si>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</si>
  <si>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</si>
  <si>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</si>
  <si>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</si>
  <si>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</si>
  <si>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</si>
  <si>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</si>
  <si>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</si>
  <si>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</si>
  <si>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</si>
  <si>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</si>
  <si>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</si>
  <si>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</si>
  <si>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</si>
  <si>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</si>
  <si>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</si>
  <si>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</si>
  <si>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</si>
  <si>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</si>
  <si>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</si>
  <si>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</si>
  <si>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</si>
  <si>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</si>
  <si>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</si>
  <si>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</si>
  <si>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</si>
  <si>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</si>
  <si>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</si>
  <si>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</si>
  <si>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</si>
  <si>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</si>
  <si>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</si>
  <si>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</si>
  <si>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</si>
  <si>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</si>
  <si>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</si>
  <si>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</si>
  <si>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</si>
  <si>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</si>
  <si>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</si>
  <si>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</si>
  <si>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</si>
  <si>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</si>
  <si>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</si>
  <si>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</si>
  <si>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</si>
  <si>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</si>
  <si>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</si>
  <si>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</si>
  <si>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</si>
  <si>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</si>
  <si>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</si>
  <si>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</si>
  <si>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</si>
  <si>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</si>
  <si>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</si>
  <si>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</si>
  <si>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</si>
  <si>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</si>
  <si>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</si>
  <si>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</si>
  <si>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</si>
  <si>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</si>
  <si>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</si>
  <si>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</si>
  <si>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</si>
  <si>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</si>
  <si>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</si>
  <si>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</si>
  <si>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</si>
  <si>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</si>
  <si>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</si>
  <si>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</si>
  <si>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</si>
  <si>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</si>
  <si>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</si>
  <si>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</si>
  <si>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</si>
  <si>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</si>
  <si>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</si>
  <si>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</si>
  <si>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</si>
  <si>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</si>
  <si>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</si>
  <si>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</si>
  <si>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</si>
  <si>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</si>
  <si>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</si>
  <si>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</si>
  <si>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</si>
  <si>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</si>
  <si>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</si>
  <si>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</si>
  <si>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</si>
  <si>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</si>
  <si>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</si>
  <si>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</si>
  <si>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</si>
  <si>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</si>
  <si>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</si>
  <si>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</si>
  <si>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</si>
  <si>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</si>
  <si>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</si>
  <si>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</si>
  <si>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</si>
  <si>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</si>
  <si>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</si>
  <si>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</si>
  <si>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</si>
  <si>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</si>
  <si>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</si>
  <si>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</si>
  <si>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</si>
  <si>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</si>
  <si>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</si>
  <si>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</si>
  <si>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</si>
  <si>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</si>
  <si>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</si>
  <si>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</si>
  <si>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</si>
  <si>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</si>
  <si>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</si>
  <si>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</si>
  <si>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</si>
  <si>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</si>
  <si>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</si>
  <si>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</si>
  <si>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</si>
  <si>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</si>
  <si>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</si>
  <si>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</si>
  <si>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</si>
  <si>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</si>
  <si>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</si>
  <si>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</si>
  <si>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</si>
  <si>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</si>
  <si>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</si>
  <si>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</si>
  <si>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</si>
  <si>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</si>
  <si>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</si>
  <si>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</si>
  <si>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</si>
  <si>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</si>
  <si>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</si>
  <si>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</si>
  <si>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</si>
  <si>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</si>
  <si>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</si>
  <si>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</si>
  <si>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</si>
  <si>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</si>
  <si>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</si>
  <si>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</si>
  <si>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</si>
  <si>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</si>
  <si>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</si>
  <si>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</si>
  <si>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</si>
  <si>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</si>
  <si>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</si>
  <si>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</si>
  <si>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</si>
  <si>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</si>
  <si>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</si>
  <si>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</si>
  <si>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</si>
  <si>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</si>
  <si>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</si>
  <si>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</si>
  <si>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</si>
  <si>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</si>
  <si>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</si>
  <si>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</si>
  <si>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</si>
  <si>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</si>
  <si>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</si>
  <si>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</si>
  <si>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</si>
  <si>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</si>
  <si>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</si>
  <si>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</si>
  <si>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</si>
  <si>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</si>
  <si>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</si>
  <si>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</si>
  <si>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</si>
  <si>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</si>
  <si>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</si>
  <si>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</si>
  <si>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</si>
  <si>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</si>
  <si>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</si>
  <si>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</si>
  <si>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</si>
  <si>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</si>
  <si>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</si>
  <si>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</si>
  <si>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</si>
  <si>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</si>
  <si>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</si>
  <si>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</si>
  <si>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</si>
  <si>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</si>
  <si>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</si>
  <si>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</si>
  <si>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</si>
  <si>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</si>
  <si>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</si>
  <si>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</si>
  <si>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</si>
  <si>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</si>
  <si>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</si>
  <si>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</si>
  <si>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</si>
  <si>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</si>
  <si>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</si>
  <si>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</si>
  <si>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</si>
  <si>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</si>
  <si>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</si>
  <si>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</si>
  <si>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</si>
  <si>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</si>
  <si>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</si>
  <si>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</si>
  <si>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</si>
  <si>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</si>
  <si>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</si>
  <si>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</si>
  <si>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</si>
  <si>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</si>
  <si>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</si>
  <si>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</si>
  <si>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</si>
  <si>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</si>
  <si>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</si>
  <si>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</si>
  <si>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</si>
  <si>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</si>
  <si>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</si>
  <si>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</si>
  <si>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</si>
  <si>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</si>
  <si>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</si>
  <si>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</si>
  <si>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</si>
  <si>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</si>
  <si>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</si>
  <si>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</si>
  <si>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</si>
  <si>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</si>
  <si>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</si>
  <si>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</si>
  <si>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</si>
  <si>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</si>
  <si>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</si>
  <si>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</si>
  <si>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</si>
  <si>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</si>
  <si>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</si>
  <si>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</si>
  <si>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</si>
  <si>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</si>
  <si>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</si>
  <si>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</si>
  <si>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</si>
  <si>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</si>
  <si>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</si>
  <si>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</si>
  <si>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</si>
  <si>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</si>
  <si>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</si>
  <si>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</si>
  <si>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</si>
  <si>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</si>
  <si>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</si>
  <si>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</si>
  <si>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</si>
  <si>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</si>
  <si>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</si>
  <si>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</si>
  <si>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</si>
  <si>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</si>
  <si>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</si>
  <si>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</si>
  <si>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</si>
  <si>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</si>
  <si>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</si>
  <si>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</si>
  <si>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</si>
  <si>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</si>
  <si>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</si>
  <si>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</si>
  <si>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</si>
  <si>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</si>
  <si>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</si>
  <si>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</si>
  <si>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</si>
  <si>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</si>
  <si>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</si>
  <si>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</si>
  <si>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</si>
  <si>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</si>
  <si>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</si>
  <si>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</si>
  <si>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</si>
  <si>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</si>
  <si>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</si>
  <si>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</si>
  <si>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</si>
  <si>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</si>
  <si>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</si>
  <si>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</si>
  <si>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</si>
  <si>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</si>
  <si>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</si>
  <si>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</si>
  <si>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</si>
  <si>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</si>
  <si>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</si>
  <si>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</si>
  <si>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</si>
  <si>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</si>
  <si>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</si>
  <si>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</si>
  <si>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</si>
  <si>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</si>
  <si>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</si>
  <si>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</si>
  <si>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</si>
  <si>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</si>
  <si>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</si>
  <si>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</si>
  <si>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</si>
  <si>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</si>
  <si>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</si>
  <si>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</si>
  <si>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</si>
  <si>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</si>
  <si>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</si>
  <si>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</si>
  <si>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</si>
  <si>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</si>
  <si>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</si>
  <si>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</si>
  <si>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</si>
  <si>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</si>
  <si>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</si>
  <si>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</si>
  <si>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</si>
  <si>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</si>
  <si>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</si>
  <si>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</si>
  <si>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</si>
  <si>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</si>
  <si>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</si>
  <si>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</si>
  <si>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</si>
  <si>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</si>
  <si>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</si>
  <si>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</si>
  <si>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</si>
  <si>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</si>
  <si>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</si>
  <si>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</si>
  <si>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</si>
  <si>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</si>
  <si>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</si>
  <si>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</si>
  <si>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</si>
  <si>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</si>
  <si>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</si>
  <si>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</si>
  <si>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</si>
  <si>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</si>
  <si>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</si>
  <si>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</si>
  <si>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</si>
  <si>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</si>
  <si>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</si>
  <si>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</si>
  <si>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</si>
  <si>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</si>
  <si>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</si>
  <si>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</si>
  <si>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</si>
  <si>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</si>
  <si>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</si>
  <si>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</si>
  <si>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</si>
  <si>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</si>
  <si>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</si>
  <si>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</si>
  <si>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</si>
  <si>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</si>
  <si>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</si>
  <si>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</si>
  <si>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</si>
  <si>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</si>
  <si>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</si>
  <si>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</si>
  <si>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</si>
  <si>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</si>
  <si>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</si>
  <si>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</si>
  <si>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</si>
  <si>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</si>
  <si>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</si>
  <si>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</si>
  <si>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</si>
  <si>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</si>
  <si>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</si>
  <si>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</si>
  <si>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</si>
  <si>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</si>
  <si>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</si>
  <si>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</si>
  <si>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</si>
  <si>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</si>
  <si>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</si>
  <si>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</si>
  <si>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</si>
  <si>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</si>
  <si>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</si>
  <si>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</si>
  <si>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</si>
  <si>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</si>
  <si>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</si>
  <si>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</si>
  <si>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</si>
  <si>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</si>
  <si>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</si>
  <si>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</si>
  <si>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</si>
  <si>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</si>
  <si>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</si>
  <si>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</si>
  <si>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</si>
  <si>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</si>
  <si>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</si>
  <si>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</si>
  <si>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</si>
  <si>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</si>
  <si>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</si>
  <si>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</si>
  <si>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</si>
  <si>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</si>
  <si>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</si>
  <si>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</si>
  <si>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</si>
  <si>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</si>
  <si>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</si>
  <si>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</si>
  <si>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</si>
  <si>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</si>
  <si>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</si>
  <si>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</si>
  <si>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</si>
  <si>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</si>
  <si>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</si>
  <si>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</si>
  <si>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</si>
  <si>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</si>
  <si>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</si>
  <si>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</si>
  <si>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</si>
  <si>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</si>
  <si>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</si>
  <si>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</si>
  <si>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</si>
  <si>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</si>
  <si>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</si>
  <si>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</si>
  <si>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</si>
  <si>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</si>
  <si>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</si>
  <si>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</si>
  <si>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</si>
  <si>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</si>
  <si>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</si>
  <si>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</si>
  <si>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</si>
  <si>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</si>
  <si>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</si>
  <si>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</si>
  <si>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</si>
  <si>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</si>
  <si>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</si>
  <si>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</si>
  <si>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</si>
  <si>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</si>
  <si>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</si>
  <si>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</si>
  <si>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</si>
  <si>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</si>
  <si>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</si>
  <si>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</si>
  <si>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</si>
  <si>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</si>
  <si>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</si>
  <si>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</si>
  <si>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</si>
  <si>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</si>
  <si>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</si>
  <si>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</si>
  <si>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</si>
  <si>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</si>
  <si>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</si>
  <si>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</si>
  <si>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</si>
  <si>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</si>
  <si>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</si>
  <si>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</si>
  <si>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</si>
  <si>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</si>
  <si>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</si>
  <si>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</si>
  <si>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</si>
  <si>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</si>
  <si>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</si>
  <si>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</si>
  <si>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</si>
  <si>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</si>
  <si>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</si>
  <si>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</si>
  <si>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</si>
  <si>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</si>
  <si>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</si>
  <si>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</si>
  <si>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</si>
  <si>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</si>
  <si>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</si>
  <si>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</si>
  <si>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</si>
  <si>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</si>
  <si>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</si>
  <si>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</si>
  <si>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</si>
  <si>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</si>
  <si>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</si>
  <si>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</si>
  <si>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</si>
  <si>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</si>
  <si>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</si>
  <si>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</si>
  <si>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</si>
  <si>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</si>
  <si>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</si>
  <si>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</si>
  <si>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</si>
  <si>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</si>
  <si>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</si>
  <si>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</si>
  <si>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</si>
  <si>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</si>
  <si>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</si>
  <si>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</si>
  <si>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</si>
  <si>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</si>
  <si>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</si>
  <si>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</si>
  <si>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</si>
  <si>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</si>
  <si>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</si>
  <si>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</si>
  <si>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</si>
  <si>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</si>
  <si>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</si>
  <si>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</si>
  <si>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</si>
  <si>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</si>
  <si>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</si>
  <si>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</si>
  <si>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</si>
  <si>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</si>
  <si>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</si>
  <si>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</si>
  <si>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</si>
  <si>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</si>
  <si>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</si>
  <si>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</si>
  <si>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</si>
  <si>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</si>
  <si>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</si>
  <si>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</si>
  <si>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</si>
  <si>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</si>
  <si>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</si>
  <si>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</si>
  <si>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</si>
  <si>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</si>
  <si>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</si>
  <si>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</si>
  <si>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</si>
  <si>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</si>
  <si>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</si>
  <si>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</si>
  <si>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</si>
  <si>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</si>
  <si>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</si>
  <si>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</si>
  <si>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</si>
  <si>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</si>
  <si>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</si>
  <si>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</si>
  <si>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</si>
  <si>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</si>
  <si>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</si>
  <si>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</si>
  <si>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</si>
  <si>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</si>
  <si>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</si>
  <si>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</si>
  <si>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</si>
  <si>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</si>
  <si>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</si>
  <si>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</si>
  <si>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</si>
  <si>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</si>
  <si>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</si>
  <si>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</si>
  <si>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</si>
  <si>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</si>
  <si>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</si>
  <si>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</si>
  <si>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</si>
  <si>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</si>
  <si>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</si>
  <si>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</si>
  <si>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</si>
  <si>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</si>
  <si>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</si>
  <si>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</si>
  <si>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</si>
  <si>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</si>
  <si>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</si>
  <si>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</si>
  <si>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</si>
  <si>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</si>
  <si>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</si>
  <si>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</si>
  <si>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</si>
  <si>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</si>
  <si>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</si>
  <si>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</si>
  <si>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</si>
  <si>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</si>
  <si>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</si>
  <si>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</si>
  <si>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</si>
  <si>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</si>
  <si>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</si>
  <si>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</si>
  <si>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</si>
  <si>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</si>
  <si>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</si>
  <si>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</si>
  <si>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</si>
  <si>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</si>
  <si>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</si>
  <si>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</si>
  <si>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</si>
  <si>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</si>
  <si>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</si>
  <si>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</si>
  <si>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</si>
  <si>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</si>
  <si>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</si>
  <si>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</si>
  <si>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</si>
  <si>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</si>
  <si>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</si>
  <si>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</si>
  <si>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</si>
  <si>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</si>
  <si>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</si>
  <si>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</si>
  <si>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</si>
  <si>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</si>
  <si>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</si>
  <si>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</si>
  <si>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</si>
  <si>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</si>
  <si>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</si>
  <si>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</si>
  <si>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</si>
  <si>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</si>
  <si>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</si>
  <si>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</si>
  <si>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</si>
  <si>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</si>
  <si>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</si>
  <si>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</si>
  <si>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</si>
  <si>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</si>
  <si>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</si>
  <si>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</si>
  <si>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</si>
  <si>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</si>
  <si>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</si>
  <si>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</si>
  <si>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</si>
  <si>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</si>
  <si>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</si>
  <si>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</si>
  <si>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</si>
  <si>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</si>
  <si>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</si>
  <si>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</si>
  <si>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</si>
  <si>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</si>
  <si>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</si>
  <si>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</si>
  <si>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</si>
  <si>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</si>
  <si>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</si>
  <si>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</si>
  <si>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</si>
  <si>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</si>
  <si>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</si>
  <si>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</si>
  <si>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</si>
  <si>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</si>
  <si>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</si>
  <si>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</si>
  <si>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</si>
  <si>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</si>
  <si>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</si>
  <si>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</si>
  <si>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</si>
  <si>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</si>
  <si>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</si>
  <si>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</si>
  <si>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</si>
  <si>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</si>
  <si>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</si>
  <si>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</si>
  <si>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</si>
  <si>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</si>
  <si>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</si>
  <si>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</si>
  <si>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</si>
  <si>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</si>
  <si>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</si>
  <si>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</si>
  <si>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</si>
  <si>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</si>
  <si>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</si>
  <si>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</si>
  <si>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</si>
  <si>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</si>
  <si>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</si>
  <si>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</si>
  <si>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</si>
  <si>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</si>
  <si>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</si>
  <si>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</si>
  <si>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</si>
  <si>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</si>
  <si>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</si>
  <si>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</si>
  <si>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</si>
  <si>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</si>
  <si>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</si>
  <si>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</si>
  <si>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</si>
  <si>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</si>
  <si>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</si>
  <si>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</si>
  <si>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</si>
  <si>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</si>
  <si>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</si>
  <si>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</si>
  <si>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</si>
  <si>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</si>
  <si>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</si>
  <si>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</si>
  <si>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</si>
  <si>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</si>
  <si>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</si>
  <si>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</si>
  <si>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</si>
  <si>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</si>
  <si>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</si>
  <si>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</si>
  <si>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</si>
  <si>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</si>
  <si>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</si>
  <si>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</si>
  <si>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</si>
  <si>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</si>
  <si>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</si>
  <si>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</si>
  <si>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</si>
  <si>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</si>
  <si>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</si>
  <si>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</si>
  <si>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</si>
  <si>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</si>
  <si>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</si>
  <si>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</si>
  <si>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</si>
  <si>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</si>
  <si>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</si>
  <si>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</si>
  <si>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</si>
  <si>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</si>
  <si>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</si>
  <si>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</si>
  <si>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</si>
  <si>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</si>
  <si>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</si>
  <si>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</si>
  <si>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</si>
  <si>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</si>
  <si>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</si>
  <si>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</si>
  <si>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</si>
  <si>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</si>
  <si>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</si>
  <si>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</si>
  <si>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</si>
  <si>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</si>
  <si>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</si>
  <si>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</si>
  <si>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</si>
  <si>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</si>
  <si>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</si>
  <si>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</si>
  <si>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</si>
  <si>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</si>
  <si>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</si>
  <si>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</si>
  <si>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</si>
  <si>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</si>
  <si>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</si>
  <si>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</si>
  <si>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</si>
  <si>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</si>
  <si>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</si>
  <si>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</si>
  <si>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</si>
  <si>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</si>
  <si>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</si>
  <si>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</si>
  <si>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</si>
  <si>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</si>
  <si>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</si>
  <si>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</si>
  <si>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</si>
  <si>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</si>
  <si>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</si>
  <si>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</si>
  <si>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</si>
  <si>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</si>
  <si>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</si>
  <si>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</si>
  <si>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</si>
  <si>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</si>
  <si>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</si>
  <si>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</si>
  <si>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</si>
  <si>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</si>
  <si>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</si>
  <si>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</si>
  <si>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</si>
  <si>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</si>
  <si>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</si>
  <si>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</si>
  <si>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</si>
  <si>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</si>
  <si>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</si>
  <si>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</si>
  <si>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</si>
  <si>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</si>
  <si>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</si>
  <si>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</si>
  <si>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</si>
  <si>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</si>
  <si>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</si>
  <si>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</si>
  <si>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</si>
  <si>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</si>
  <si>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</si>
  <si>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</si>
  <si>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</si>
  <si>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</si>
  <si>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</si>
  <si>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</si>
  <si>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</si>
  <si>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</si>
  <si>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</si>
  <si>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</si>
  <si>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</si>
  <si>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</si>
  <si>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</si>
  <si>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</si>
  <si>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</si>
  <si>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</si>
  <si>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</si>
  <si>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</si>
  <si>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</si>
  <si>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</si>
  <si>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</si>
  <si>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</si>
  <si>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</si>
  <si>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</si>
  <si>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</si>
  <si>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</si>
  <si>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</si>
  <si>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</si>
  <si>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</si>
  <si>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</si>
  <si>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</si>
  <si>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</si>
  <si>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</si>
  <si>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</si>
  <si>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</si>
  <si>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</si>
  <si>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</si>
  <si>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</si>
  <si>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</si>
  <si>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</si>
  <si>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</si>
  <si>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</si>
  <si>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</si>
  <si>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</si>
  <si>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</si>
  <si>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</si>
  <si>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</si>
  <si>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</si>
  <si>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</si>
  <si>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</si>
  <si>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</si>
  <si>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</si>
  <si>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</si>
  <si>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</si>
  <si>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</si>
  <si>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</si>
  <si>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</si>
  <si>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</si>
  <si>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</si>
  <si>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</si>
  <si>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</si>
  <si>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</si>
  <si>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</si>
  <si>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</si>
  <si>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</si>
  <si>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</si>
  <si>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</si>
  <si>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</si>
  <si>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</si>
  <si>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</si>
  <si>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</si>
  <si>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</si>
  <si>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</si>
  <si>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</si>
  <si>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</si>
  <si>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</si>
  <si>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</si>
  <si>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</si>
  <si>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</si>
  <si>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</si>
  <si>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</si>
  <si>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</si>
  <si>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</si>
  <si>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</si>
  <si>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</si>
  <si>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</si>
  <si>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</si>
  <si>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</si>
  <si>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</si>
  <si>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</si>
  <si>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</si>
  <si>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</si>
  <si>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</si>
  <si>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</si>
  <si>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</si>
  <si>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</si>
  <si>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</si>
  <si>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</si>
  <si>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</si>
  <si>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</si>
  <si>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</si>
  <si>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</si>
  <si>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</si>
  <si>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</si>
  <si>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</si>
  <si>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</si>
  <si>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</si>
  <si>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</si>
  <si>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</si>
  <si>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</si>
  <si>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</si>
  <si>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</si>
  <si>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</si>
  <si>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</si>
  <si>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</si>
  <si>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</si>
  <si>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</si>
  <si>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</si>
  <si>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</si>
  <si>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</si>
  <si>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</si>
  <si>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</si>
  <si>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</si>
  <si>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</si>
  <si>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</si>
  <si>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</si>
  <si>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</si>
  <si>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</si>
  <si>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</si>
  <si>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</si>
  <si>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</si>
  <si>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</si>
  <si>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</si>
  <si>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</si>
  <si>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</si>
  <si>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</si>
  <si>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</si>
  <si>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</si>
  <si>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</si>
  <si>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</si>
  <si>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</si>
  <si>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</si>
  <si>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</si>
  <si>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</si>
  <si>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</si>
  <si>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</si>
  <si>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</si>
  <si>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</si>
  <si>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</si>
  <si>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</si>
  <si>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</si>
  <si>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</si>
  <si>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</si>
  <si>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</si>
  <si>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</si>
  <si>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</si>
  <si>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</si>
  <si>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</si>
  <si>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</si>
  <si>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</si>
  <si>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</si>
  <si>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</si>
  <si>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</si>
  <si>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</si>
  <si>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</si>
  <si>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</si>
  <si>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</si>
  <si>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</si>
  <si>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</si>
  <si>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</si>
  <si>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</si>
  <si>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</si>
  <si>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</si>
  <si>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</si>
  <si>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</si>
  <si>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</si>
  <si>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</si>
  <si>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</si>
  <si>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</si>
  <si>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</si>
  <si>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</si>
  <si>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</si>
  <si>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</si>
  <si>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</si>
  <si>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</si>
  <si>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</si>
  <si>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</si>
  <si>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</si>
  <si>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</si>
  <si>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</si>
  <si>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</si>
  <si>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</si>
  <si>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</si>
  <si>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</si>
  <si>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</si>
  <si>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</si>
  <si>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</si>
  <si>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</si>
  <si>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</si>
  <si>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</si>
  <si>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</si>
  <si>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</si>
  <si>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</si>
  <si>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</si>
  <si>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</si>
  <si>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</si>
  <si>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</si>
  <si>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</si>
  <si>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</si>
  <si>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</si>
  <si>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</si>
  <si>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</si>
  <si>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</si>
  <si>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</si>
  <si>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</si>
  <si>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</si>
  <si>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</si>
  <si>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</si>
  <si>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</si>
  <si>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</si>
  <si>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</si>
  <si>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</si>
  <si>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</si>
  <si>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</si>
  <si>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</si>
  <si>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</si>
  <si>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</si>
  <si>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</si>
  <si>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</si>
  <si>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</si>
  <si>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</si>
  <si>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</si>
  <si>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</si>
  <si>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</si>
  <si>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</si>
  <si>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</si>
  <si>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</si>
  <si>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</si>
  <si>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</si>
  <si>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</si>
  <si>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</si>
  <si>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</si>
  <si>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</si>
  <si>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</si>
  <si>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</si>
  <si>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</si>
  <si>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</si>
  <si>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</si>
  <si>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</si>
  <si>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</si>
  <si>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</si>
  <si>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</si>
  <si>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</si>
  <si>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</si>
  <si>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</si>
  <si>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</si>
  <si>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</si>
  <si>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</si>
  <si>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</si>
  <si>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</si>
  <si>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</si>
  <si>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</si>
  <si>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</si>
  <si>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</si>
  <si>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</si>
  <si>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</si>
  <si>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</si>
  <si>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</si>
  <si>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</si>
  <si>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</si>
  <si>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</si>
  <si>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</si>
  <si>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</si>
  <si>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</si>
  <si>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</si>
  <si>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</si>
  <si>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</si>
  <si>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</si>
  <si>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</si>
  <si>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</si>
  <si>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</si>
  <si>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</si>
  <si>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</si>
  <si>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</si>
  <si>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</si>
  <si>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</si>
  <si>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</si>
  <si>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</si>
  <si>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</si>
  <si>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</si>
  <si>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</si>
  <si>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</si>
  <si>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</si>
  <si>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</si>
  <si>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</si>
  <si>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</si>
  <si>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</si>
  <si>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</si>
  <si>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</si>
  <si>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</si>
  <si>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</si>
  <si>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</si>
  <si>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</si>
  <si>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</si>
  <si>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</si>
  <si>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</si>
  <si>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</si>
  <si>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</si>
  <si>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</si>
  <si>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</si>
  <si>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</si>
  <si>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</si>
  <si>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</si>
  <si>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</si>
  <si>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</si>
  <si>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</si>
  <si>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</si>
  <si>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</si>
  <si>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</si>
  <si>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</si>
  <si>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</si>
  <si>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</si>
  <si>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</si>
  <si>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</si>
  <si>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</si>
  <si>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</si>
  <si>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</si>
  <si>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</si>
  <si>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</si>
  <si>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</si>
  <si>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</si>
  <si>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</si>
  <si>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</si>
  <si>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</si>
  <si>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</si>
  <si>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</si>
  <si>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</si>
  <si>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</si>
  <si>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</si>
  <si>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</si>
  <si>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</si>
  <si>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</si>
  <si>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</si>
  <si>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</si>
  <si>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</si>
  <si>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</si>
  <si>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</si>
  <si>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</si>
  <si>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</si>
  <si>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</si>
  <si>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</si>
  <si>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</si>
  <si>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</si>
  <si>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</si>
  <si>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</si>
  <si>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</si>
  <si>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</si>
  <si>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</si>
  <si>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</si>
  <si>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</si>
  <si>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</si>
  <si>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</si>
  <si>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</si>
  <si>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</si>
  <si>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</si>
  <si>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</si>
  <si>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</si>
  <si>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</si>
  <si>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</si>
  <si>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</si>
  <si>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</si>
  <si>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</si>
  <si>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</si>
  <si>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</si>
  <si>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</si>
  <si>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</si>
  <si>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</si>
  <si>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</si>
  <si>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</si>
  <si>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</si>
  <si>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</si>
  <si>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</si>
  <si>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</si>
  <si>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</si>
  <si>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</si>
  <si>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</si>
  <si>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</si>
  <si>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</si>
  <si>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</si>
  <si>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</si>
  <si>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</si>
  <si>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</si>
  <si>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</si>
  <si>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</si>
  <si>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</si>
  <si>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</si>
  <si>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</si>
  <si>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</si>
  <si>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</si>
  <si>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</si>
  <si>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</si>
  <si>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</si>
  <si>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</si>
  <si>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</si>
  <si>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</si>
  <si>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</si>
  <si>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</si>
  <si>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</si>
  <si>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</si>
  <si>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</si>
  <si>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</si>
  <si>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</si>
  <si>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</si>
  <si>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</si>
  <si>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</si>
  <si>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</si>
  <si>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</si>
  <si>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</si>
  <si>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</si>
  <si>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</si>
  <si>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</si>
  <si>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</si>
  <si>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</si>
  <si>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</si>
  <si>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</si>
  <si>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</si>
  <si>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</si>
  <si>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</si>
  <si>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</si>
  <si>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</si>
  <si>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</si>
  <si>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</si>
  <si>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</si>
  <si>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</si>
  <si>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</si>
  <si>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</si>
  <si>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</si>
  <si>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</si>
  <si>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</si>
  <si>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</si>
  <si>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</si>
  <si>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</si>
  <si>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</si>
  <si>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</si>
  <si>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</si>
  <si>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</si>
  <si>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</si>
  <si>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</si>
  <si>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</si>
  <si>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</si>
  <si>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</si>
  <si>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</si>
  <si>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</si>
  <si>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</si>
  <si>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</si>
  <si>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</si>
  <si>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</si>
  <si>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</si>
  <si>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</si>
  <si>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</si>
  <si>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</si>
  <si>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</si>
  <si>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</si>
  <si>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</si>
  <si>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</si>
  <si>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</si>
  <si>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</si>
  <si>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</si>
  <si>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</si>
  <si>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</si>
  <si>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</si>
  <si>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</si>
  <si>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</si>
  <si>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</si>
  <si>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</si>
  <si>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</si>
  <si>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</si>
  <si>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</si>
  <si>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</si>
  <si>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</si>
  <si>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</si>
  <si>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</si>
  <si>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</si>
  <si>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</si>
  <si>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</si>
  <si>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</si>
  <si>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</si>
  <si>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</si>
  <si>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</si>
  <si>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</si>
  <si>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</si>
  <si>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</si>
  <si>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</si>
  <si>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</si>
  <si>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</si>
  <si>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</si>
  <si>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</si>
  <si>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</si>
  <si>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</si>
  <si>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</si>
  <si>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</si>
  <si>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</si>
  <si>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</si>
  <si>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</si>
  <si>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</si>
  <si>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</si>
  <si>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</si>
  <si>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</si>
  <si>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</si>
  <si>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</si>
  <si>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</si>
  <si>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</si>
  <si>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</si>
  <si>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</si>
  <si>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</si>
  <si>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</si>
  <si>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</si>
  <si>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</si>
  <si>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</si>
  <si>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</si>
  <si>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</si>
  <si>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</si>
  <si>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</si>
  <si>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</si>
  <si>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</si>
  <si>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</si>
  <si>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</si>
  <si>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</si>
  <si>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</si>
  <si>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</si>
  <si>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</si>
  <si>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</si>
  <si>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</si>
  <si>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</si>
  <si>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</si>
  <si>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</si>
  <si>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</si>
  <si>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</si>
  <si>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</si>
  <si>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</si>
  <si>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</si>
  <si>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</si>
  <si>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</si>
  <si>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</si>
  <si>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</si>
  <si>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</si>
  <si>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</si>
  <si>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</si>
  <si>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</si>
  <si>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</si>
  <si>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</si>
  <si>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</si>
  <si>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</si>
  <si>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</si>
  <si>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</si>
  <si>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</si>
  <si>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</si>
  <si>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</si>
  <si>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</si>
  <si>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</si>
  <si>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</si>
  <si>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</si>
  <si>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</si>
  <si>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</si>
  <si>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</si>
  <si>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</si>
  <si>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</si>
  <si>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</si>
  <si>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</si>
  <si>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</si>
  <si>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</si>
  <si>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</si>
  <si>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</si>
  <si>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</si>
  <si>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</si>
  <si>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</si>
  <si>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</si>
  <si>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</si>
  <si>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</si>
  <si>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</si>
  <si>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</si>
  <si>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</si>
  <si>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</si>
  <si>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</si>
  <si>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</si>
  <si>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</si>
  <si>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</si>
  <si>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</si>
  <si>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</si>
  <si>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</si>
  <si>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</si>
  <si>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</si>
  <si>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</si>
  <si>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</si>
  <si>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</si>
  <si>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</si>
  <si>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</si>
  <si>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</si>
  <si>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</si>
  <si>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</si>
  <si>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</si>
  <si>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</si>
  <si>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</si>
  <si>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</si>
  <si>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</si>
  <si>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</si>
  <si>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</si>
  <si>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</si>
  <si>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</si>
  <si>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</si>
  <si>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</si>
  <si>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</si>
  <si>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</si>
  <si>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</si>
  <si>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</si>
  <si>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</si>
  <si>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</si>
  <si>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</si>
  <si>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</si>
  <si>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</si>
  <si>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</si>
  <si>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</si>
  <si>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</si>
  <si>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</si>
  <si>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</si>
  <si>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</si>
  <si>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</si>
  <si>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</si>
  <si>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</si>
  <si>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</si>
  <si>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</si>
  <si>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</si>
  <si>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</si>
  <si>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</si>
  <si>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</si>
  <si>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</si>
  <si>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</si>
  <si>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</si>
  <si>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</si>
  <si>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</si>
  <si>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</si>
  <si>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</si>
  <si>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</si>
  <si>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</si>
  <si>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</si>
  <si>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</si>
  <si>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</si>
  <si>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</si>
  <si>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</si>
  <si>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</si>
  <si>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</si>
  <si>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</si>
  <si>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</si>
  <si>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</si>
  <si>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</si>
  <si>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</si>
  <si>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</si>
  <si>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</si>
  <si>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</si>
  <si>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</si>
  <si>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</si>
  <si>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</si>
  <si>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</si>
  <si>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</si>
  <si>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</si>
  <si>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</si>
  <si>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</si>
  <si>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</si>
  <si>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</si>
  <si>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</si>
  <si>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</si>
  <si>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</si>
  <si>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</si>
  <si>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</si>
  <si>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</si>
  <si>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</si>
  <si>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</si>
  <si>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</si>
  <si>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</si>
  <si>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</si>
  <si>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</si>
  <si>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</si>
  <si>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</si>
  <si>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</si>
  <si>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</si>
  <si>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</si>
  <si>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</si>
  <si>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</si>
  <si>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</si>
  <si>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</si>
  <si>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</si>
  <si>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</si>
  <si>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</si>
  <si>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</si>
  <si>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</si>
  <si>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</si>
  <si>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</si>
  <si>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</si>
  <si>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</si>
  <si>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</si>
  <si>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</si>
  <si>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</si>
  <si>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</si>
  <si>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</si>
  <si>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</si>
  <si>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</si>
  <si>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</si>
  <si>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</si>
  <si>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</si>
  <si>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</si>
  <si>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</si>
  <si>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</si>
  <si>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</si>
  <si>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</si>
  <si>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</si>
  <si>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</si>
  <si>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</si>
  <si>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</si>
  <si>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</si>
  <si>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</si>
  <si>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</si>
  <si>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</si>
  <si>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</si>
  <si>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</si>
  <si>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</si>
  <si>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</si>
  <si>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</si>
  <si>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</si>
  <si>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</si>
  <si>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</si>
  <si>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</si>
  <si>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</si>
  <si>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</si>
  <si>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</si>
  <si>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</si>
  <si>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</si>
  <si>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</si>
  <si>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</si>
  <si>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</si>
  <si>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</si>
  <si>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</si>
  <si>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</si>
  <si>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</si>
  <si>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</si>
  <si>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</si>
  <si>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</si>
  <si>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</si>
  <si>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</si>
  <si>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</si>
  <si>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</si>
  <si>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</si>
  <si>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</si>
  <si>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</si>
  <si>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</si>
  <si>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</si>
  <si>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</si>
  <si>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</si>
  <si>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</si>
  <si>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</si>
  <si>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</si>
  <si>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</si>
  <si>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</si>
  <si>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</si>
  <si>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</si>
  <si>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</si>
  <si>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</si>
  <si>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</si>
  <si>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</si>
  <si>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</si>
  <si>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</si>
  <si>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</si>
  <si>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</si>
  <si>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</si>
  <si>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</si>
  <si>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</si>
  <si>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</si>
  <si>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</si>
  <si>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</si>
  <si>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</si>
  <si>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</si>
  <si>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</si>
  <si>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</si>
  <si>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</si>
  <si>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</si>
  <si>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</si>
  <si>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</si>
  <si>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</si>
  <si>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</si>
  <si>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</si>
  <si>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</si>
  <si>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</si>
  <si>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</si>
  <si>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</si>
  <si>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</si>
  <si>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</si>
  <si>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</si>
  <si>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</si>
  <si>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</si>
  <si>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</si>
  <si>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</si>
  <si>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</si>
  <si>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</si>
  <si>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</si>
  <si>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</si>
  <si>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</si>
  <si>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</si>
  <si>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</si>
  <si>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</si>
  <si>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</si>
  <si>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</si>
  <si>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</si>
  <si>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</si>
  <si>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</si>
  <si>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</si>
  <si>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</si>
  <si>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</si>
  <si>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</si>
  <si>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</si>
  <si>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</si>
  <si>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</si>
  <si>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</si>
  <si>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</si>
  <si>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</si>
  <si>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</si>
  <si>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</si>
  <si>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</si>
  <si>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</si>
  <si>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</si>
  <si>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</si>
  <si>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</si>
  <si>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</si>
  <si>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</si>
  <si>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</si>
  <si>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</si>
  <si>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</si>
  <si>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</si>
  <si>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</si>
  <si>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</si>
  <si>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</si>
  <si>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</si>
  <si>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</si>
  <si>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</si>
  <si>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</si>
  <si>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</si>
  <si>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</si>
  <si>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</si>
  <si>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</si>
  <si>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</si>
  <si>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</si>
  <si>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</si>
  <si>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</si>
  <si>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</si>
  <si>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</si>
  <si>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</si>
  <si>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</si>
  <si>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</si>
  <si>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</si>
  <si>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</si>
  <si>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</si>
  <si>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</si>
  <si>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</si>
  <si>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</si>
  <si>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</si>
  <si>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</si>
  <si>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</si>
  <si>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</si>
  <si>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</si>
  <si>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</si>
  <si>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</si>
  <si>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</si>
  <si>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</si>
  <si>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</si>
  <si>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</si>
  <si>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</si>
  <si>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</si>
  <si>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</si>
  <si>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</si>
  <si>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</si>
  <si>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</si>
  <si>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</si>
  <si>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</si>
  <si>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</si>
  <si>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</si>
  <si>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</si>
  <si>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</si>
  <si>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</si>
  <si>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</si>
  <si>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</si>
  <si>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</si>
  <si>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</si>
  <si>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</si>
  <si>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</si>
  <si>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</si>
  <si>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</si>
  <si>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</si>
  <si>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</si>
  <si>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</si>
  <si>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</si>
  <si>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</si>
  <si>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</si>
  <si>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</si>
  <si>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</si>
  <si>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</si>
  <si>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</si>
  <si>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</si>
  <si>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</si>
  <si>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</si>
  <si>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</si>
  <si>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</si>
  <si>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</si>
  <si>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</si>
  <si>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</si>
  <si>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</si>
  <si>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</si>
  <si>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</si>
  <si>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</si>
  <si>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</si>
  <si>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</si>
  <si>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</si>
  <si>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</si>
  <si>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</si>
  <si>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</si>
  <si>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</si>
  <si>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</si>
  <si>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</si>
  <si>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</si>
  <si>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</si>
  <si>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</si>
  <si>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</si>
  <si>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</si>
  <si>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</si>
  <si>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</si>
  <si>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</si>
  <si>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</si>
  <si>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</si>
  <si>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</si>
  <si>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</si>
  <si>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</si>
  <si>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</si>
  <si>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</si>
  <si>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</si>
  <si>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</si>
  <si>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</si>
  <si>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</si>
  <si>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</si>
  <si>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</si>
  <si>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</si>
  <si>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</si>
  <si>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</si>
  <si>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</si>
  <si>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</si>
  <si>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</si>
  <si>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</si>
  <si>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</si>
  <si>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</si>
  <si>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</si>
  <si>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</si>
  <si>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</si>
  <si>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</si>
  <si>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</si>
  <si>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</si>
  <si>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</si>
  <si>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</si>
  <si>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</si>
  <si>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</si>
  <si>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</si>
  <si>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</si>
  <si>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</si>
  <si>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</si>
  <si>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</si>
  <si>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</si>
  <si>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</si>
  <si>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</si>
  <si>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</si>
  <si>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</si>
  <si>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</si>
  <si>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</si>
  <si>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</si>
  <si>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</si>
  <si>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</si>
  <si>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</si>
  <si>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</si>
  <si>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</si>
  <si>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</si>
  <si>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</si>
  <si>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</si>
  <si>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</si>
  <si>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</si>
  <si>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</si>
  <si>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</si>
  <si>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</si>
  <si>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</si>
  <si>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</si>
  <si>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</si>
  <si>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</si>
  <si>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</si>
  <si>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</si>
  <si>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</si>
  <si>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</si>
  <si>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</si>
  <si>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</si>
  <si>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</si>
  <si>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</si>
  <si>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</si>
  <si>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</si>
  <si>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</si>
  <si>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</si>
  <si>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</si>
  <si>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</si>
  <si>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</si>
  <si>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</si>
  <si>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</si>
  <si>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</si>
  <si>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</si>
  <si>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</si>
  <si>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</si>
  <si>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</si>
  <si>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</si>
  <si>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</si>
  <si>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</si>
  <si>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</si>
  <si>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</si>
  <si>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</si>
  <si>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</si>
  <si>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</si>
  <si>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</si>
  <si>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</si>
  <si>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</si>
  <si>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</si>
  <si>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</si>
  <si>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</si>
  <si>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</si>
  <si>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</si>
  <si>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</si>
  <si>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</si>
  <si>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</si>
  <si>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</si>
  <si>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</si>
  <si>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</si>
  <si>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</si>
  <si>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</si>
  <si>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</si>
  <si>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</si>
  <si>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</si>
  <si>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</si>
  <si>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</si>
  <si>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</si>
  <si>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</si>
  <si>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</si>
  <si>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</si>
  <si>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</si>
  <si>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</si>
  <si>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</si>
  <si>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</si>
  <si>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</si>
  <si>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</si>
  <si>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</si>
  <si>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</si>
  <si>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</si>
  <si>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</si>
  <si>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</si>
  <si>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</si>
  <si>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</si>
  <si>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</si>
  <si>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</si>
  <si>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</si>
  <si>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</si>
  <si>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</si>
  <si>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</si>
  <si>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</si>
  <si>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</si>
  <si>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</si>
  <si>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</si>
  <si>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</si>
  <si>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</si>
  <si>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</si>
  <si>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</si>
  <si>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</si>
  <si>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</si>
  <si>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</si>
  <si>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</si>
  <si>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</si>
  <si>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</si>
  <si>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</si>
  <si>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</si>
  <si>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</si>
  <si>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</si>
  <si>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</si>
  <si>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</si>
  <si>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</si>
  <si>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</si>
  <si>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</si>
  <si>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</si>
  <si>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</si>
  <si>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</si>
  <si>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</si>
  <si>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</si>
  <si>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</si>
  <si>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</si>
  <si>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</si>
  <si>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</si>
  <si>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</si>
  <si>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</si>
  <si>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</si>
  <si>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</si>
  <si>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</si>
  <si>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</si>
  <si>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</si>
  <si>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</si>
  <si>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</si>
  <si>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</si>
  <si>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</si>
  <si>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</si>
  <si>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</si>
  <si>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</si>
  <si>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</si>
  <si>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</si>
  <si>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</si>
  <si>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</si>
  <si>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</si>
  <si>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</si>
  <si>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</si>
  <si>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</si>
  <si>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</si>
  <si>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</si>
  <si>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</si>
  <si>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</si>
  <si>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</si>
  <si>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</si>
  <si>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</si>
  <si>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</si>
  <si>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</si>
  <si>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</si>
  <si>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</si>
  <si>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</si>
  <si>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</si>
  <si>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</si>
  <si>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</si>
  <si>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</si>
  <si>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</si>
  <si>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</si>
  <si>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</si>
  <si>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</si>
  <si>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</si>
  <si>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</si>
  <si>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</si>
  <si>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</si>
  <si>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</si>
  <si>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</si>
  <si>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</si>
  <si>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</si>
  <si>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</si>
  <si>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</si>
  <si>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</si>
  <si>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</si>
  <si>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</si>
  <si>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</si>
  <si>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</si>
  <si>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</si>
  <si>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</si>
  <si>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</si>
  <si>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</si>
  <si>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</si>
  <si>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</si>
  <si>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</si>
  <si>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</si>
  <si>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</si>
  <si>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</si>
  <si>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</si>
  <si>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</si>
  <si>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</si>
  <si>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</si>
  <si>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</si>
  <si>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</si>
  <si>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</si>
  <si>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</si>
  <si>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</si>
  <si>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</si>
  <si>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</si>
  <si>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</si>
  <si>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</si>
  <si>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</si>
  <si>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</si>
  <si>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</si>
  <si>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</si>
  <si>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</si>
  <si>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</si>
  <si>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</si>
  <si>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</si>
  <si>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</si>
  <si>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</si>
  <si>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</si>
  <si>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</si>
  <si>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</si>
  <si>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</si>
  <si>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</si>
  <si>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</si>
  <si>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</si>
  <si>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</si>
  <si>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</si>
  <si>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</si>
  <si>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</si>
  <si>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</si>
  <si>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</si>
  <si>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</si>
  <si>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</si>
  <si>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</si>
  <si>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</si>
  <si>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</si>
  <si>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</si>
  <si>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</si>
  <si>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</si>
  <si>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</si>
  <si>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</si>
  <si>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</si>
  <si>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</si>
  <si>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</si>
  <si>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</si>
  <si>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</si>
  <si>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</si>
  <si>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</si>
  <si>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</si>
  <si>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</si>
  <si>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</si>
  <si>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</si>
  <si>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</si>
  <si>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</si>
  <si>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</si>
  <si>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</si>
  <si>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</si>
  <si>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</si>
  <si>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</si>
  <si>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</si>
  <si>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</si>
  <si>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</si>
  <si>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</si>
  <si>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</si>
  <si>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</si>
  <si>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</si>
  <si>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</si>
  <si>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</si>
  <si>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</si>
  <si>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</si>
  <si>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</si>
  <si>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</si>
  <si>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</si>
  <si>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</si>
  <si>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</si>
  <si>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</si>
  <si>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</si>
  <si>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</si>
  <si>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</si>
  <si>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</si>
  <si>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</si>
  <si>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</si>
  <si>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</si>
  <si>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</si>
  <si>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</si>
  <si>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</si>
  <si>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</si>
  <si>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</si>
  <si>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</si>
  <si>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</si>
  <si>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</si>
  <si>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</si>
  <si>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</si>
  <si>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</si>
  <si>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</si>
  <si>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</si>
  <si>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</si>
  <si>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</si>
  <si>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</si>
  <si>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</si>
  <si>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</si>
  <si>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</si>
  <si>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</si>
  <si>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</si>
  <si>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</si>
  <si>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</si>
  <si>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</si>
  <si>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</si>
  <si>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</si>
  <si>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</si>
  <si>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</si>
  <si>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</si>
  <si>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</si>
  <si>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</si>
  <si>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</si>
  <si>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</si>
  <si>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</si>
  <si>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</si>
  <si>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</si>
  <si>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</si>
  <si>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</si>
  <si>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</si>
  <si>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</si>
  <si>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</si>
  <si>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</si>
  <si>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</si>
  <si>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</si>
  <si>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</si>
  <si>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</si>
  <si>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</si>
  <si>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</si>
  <si>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</si>
  <si>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</si>
  <si>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</si>
  <si>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</si>
  <si>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</si>
  <si>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</si>
  <si>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</si>
  <si>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</si>
  <si>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</si>
  <si>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</si>
  <si>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</si>
  <si>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</si>
  <si>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</si>
  <si>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</si>
  <si>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</si>
  <si>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</si>
  <si>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</si>
  <si>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</si>
  <si>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</si>
  <si>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</si>
  <si>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</si>
  <si>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</si>
  <si>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</si>
  <si>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</si>
  <si>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</si>
  <si>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</si>
  <si>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</si>
  <si>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</si>
  <si>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</si>
  <si>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</si>
  <si>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</si>
  <si>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</si>
  <si>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</si>
  <si>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</si>
  <si>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</si>
  <si>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</si>
  <si>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</si>
  <si>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</si>
  <si>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</si>
  <si>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</si>
  <si>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</si>
  <si>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</si>
  <si>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</si>
  <si>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</si>
  <si>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</si>
  <si>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</si>
  <si>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</si>
  <si>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</si>
  <si>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</si>
  <si>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</si>
  <si>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</si>
  <si>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</si>
  <si>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</si>
  <si>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</si>
  <si>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</si>
  <si>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</si>
  <si>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</si>
  <si>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</si>
  <si>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</si>
  <si>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</si>
  <si>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</si>
  <si>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</si>
  <si>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</si>
  <si>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</si>
  <si>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</si>
  <si>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</si>
  <si>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</si>
  <si>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</si>
  <si>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</si>
  <si>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</si>
  <si>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</si>
  <si>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</si>
  <si>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</si>
  <si>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</si>
  <si>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</si>
  <si>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</si>
  <si>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</si>
  <si>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</si>
  <si>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</si>
  <si>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</si>
  <si>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</si>
  <si>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</si>
  <si>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</si>
  <si>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</si>
  <si>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</si>
  <si>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</si>
  <si>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</si>
  <si>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</si>
  <si>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</si>
  <si>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</si>
  <si>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</si>
  <si>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</si>
  <si>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</si>
  <si>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</si>
  <si>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</si>
  <si>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</si>
  <si>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</si>
  <si>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</si>
  <si>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</si>
  <si>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</si>
  <si>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</si>
  <si>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</si>
  <si>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</si>
  <si>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</si>
  <si>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</si>
  <si>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</si>
  <si>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</si>
  <si>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</si>
  <si>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</si>
  <si>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</si>
  <si>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</si>
  <si>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</si>
  <si>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</si>
  <si>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</si>
  <si>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</si>
  <si>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</si>
  <si>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</si>
  <si>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</si>
  <si>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</si>
  <si>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</si>
  <si>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</si>
  <si>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</si>
  <si>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</si>
  <si>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</si>
  <si>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</si>
  <si>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</si>
  <si>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</si>
  <si>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</si>
  <si>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</si>
  <si>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</si>
  <si>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</si>
  <si>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</si>
  <si>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</si>
  <si>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</si>
  <si>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</si>
  <si>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</si>
  <si>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</si>
  <si>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</si>
  <si>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</si>
  <si>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</si>
  <si>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</si>
  <si>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</si>
  <si>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</si>
  <si>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</si>
  <si>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</si>
  <si>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</si>
  <si>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</si>
  <si>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</si>
  <si>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</si>
  <si>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</si>
  <si>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</si>
  <si>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</si>
  <si>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</si>
  <si>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</si>
  <si>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</si>
  <si>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</si>
  <si>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</si>
  <si>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</si>
  <si>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</si>
  <si>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</si>
  <si>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</si>
  <si>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</si>
  <si>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</si>
  <si>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</si>
  <si>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</si>
  <si>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</si>
  <si>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</si>
  <si>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</si>
  <si>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</si>
  <si>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</si>
  <si>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</si>
  <si>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</si>
  <si>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</si>
  <si>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</si>
  <si>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</si>
  <si>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</si>
  <si>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</si>
  <si>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</si>
  <si>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</si>
  <si>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</si>
  <si>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</si>
  <si>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</si>
  <si>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</si>
  <si>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</si>
  <si>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</si>
  <si>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</si>
  <si>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</si>
  <si>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</si>
  <si>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</si>
  <si>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</si>
  <si>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</si>
  <si>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</si>
  <si>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</si>
  <si>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</si>
  <si>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</si>
  <si>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</si>
  <si>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</si>
  <si>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</si>
  <si>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</si>
  <si>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</si>
  <si>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</si>
  <si>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</si>
  <si>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</si>
  <si>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</si>
  <si>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</si>
  <si>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</si>
  <si>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</si>
  <si>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</si>
  <si>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</si>
  <si>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</si>
  <si>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</si>
  <si>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</si>
  <si>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</si>
  <si>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</si>
  <si>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</si>
  <si>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</si>
  <si>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</si>
  <si>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</si>
  <si>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</si>
  <si>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</si>
  <si>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</si>
  <si>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</si>
  <si>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</si>
  <si>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</si>
  <si>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</si>
  <si>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</si>
  <si>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</si>
  <si>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</si>
  <si>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</si>
  <si>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</si>
  <si>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</si>
  <si>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</si>
  <si>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</si>
  <si>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</si>
  <si>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</si>
  <si>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</si>
  <si>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</si>
  <si>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</si>
  <si>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</si>
  <si>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</si>
  <si>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</si>
  <si>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</si>
  <si>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</si>
  <si>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</si>
  <si>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</si>
  <si>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</si>
  <si>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</si>
  <si>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</si>
  <si>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</si>
  <si>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</si>
  <si>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</si>
  <si>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</si>
  <si>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</si>
  <si>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</si>
  <si>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</si>
  <si>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</si>
  <si>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</si>
  <si>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</si>
  <si>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</si>
  <si>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</si>
  <si>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</si>
  <si>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</si>
  <si>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</si>
  <si>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</si>
  <si>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</si>
  <si>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</si>
  <si>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</si>
  <si>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</si>
  <si>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</si>
  <si>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</si>
  <si>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</si>
  <si>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</si>
  <si>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</si>
  <si>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</si>
  <si>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</si>
  <si>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</si>
  <si>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</si>
  <si>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</si>
  <si>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</si>
  <si>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</si>
  <si>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</si>
  <si>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</si>
  <si>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</si>
  <si>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</si>
  <si>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</si>
  <si>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</si>
  <si>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</si>
  <si>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</si>
  <si>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</si>
  <si>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</si>
  <si>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</si>
  <si>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</si>
  <si>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</si>
  <si>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</si>
  <si>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</si>
  <si>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</si>
  <si>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</si>
  <si>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</si>
  <si>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</si>
  <si>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</si>
  <si>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</si>
  <si>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</si>
  <si>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</si>
  <si>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</si>
  <si>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</si>
  <si>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</si>
  <si>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</si>
  <si>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</si>
  <si>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</si>
  <si>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</si>
  <si>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</si>
  <si>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</si>
  <si>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</si>
  <si>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</si>
  <si>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</si>
  <si>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</si>
  <si>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</si>
  <si>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</si>
  <si>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</si>
  <si>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</si>
  <si>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</si>
  <si>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</si>
  <si>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</si>
  <si>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</si>
  <si>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</si>
  <si>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</si>
  <si>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</si>
  <si>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</si>
  <si>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</si>
  <si>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</si>
  <si>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</si>
  <si>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</si>
  <si>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</si>
  <si>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</si>
  <si>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</si>
  <si>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</si>
  <si>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</si>
  <si>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</si>
  <si>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</si>
  <si>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</si>
  <si>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</si>
  <si>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</si>
  <si>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</si>
  <si>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</si>
  <si>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</si>
  <si>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</si>
  <si>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</si>
  <si>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</si>
  <si>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</si>
  <si>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</si>
  <si>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</si>
  <si>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</si>
  <si>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</si>
  <si>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</si>
  <si>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</si>
  <si>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</si>
  <si>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</si>
  <si>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</si>
  <si>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</si>
  <si>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</si>
  <si>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</si>
  <si>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</si>
  <si>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</si>
  <si>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</si>
  <si>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</si>
  <si>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</si>
  <si>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</si>
  <si>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</si>
  <si>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</si>
  <si>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</si>
  <si>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</si>
  <si>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</si>
  <si>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</si>
  <si>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</si>
  <si>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</si>
  <si>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</si>
  <si>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</si>
  <si>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</si>
  <si>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</si>
  <si>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</si>
  <si>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</si>
  <si>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</si>
  <si>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</si>
  <si>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</si>
  <si>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</si>
  <si>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</si>
  <si>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</si>
  <si>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</si>
  <si>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</si>
  <si>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</si>
  <si>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</si>
  <si>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</si>
  <si>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</si>
  <si>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</si>
  <si>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</si>
  <si>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</si>
  <si>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</si>
  <si>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</si>
  <si>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</si>
  <si>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</si>
  <si>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</si>
  <si>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</si>
  <si>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</si>
  <si>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</si>
  <si>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</si>
  <si>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</si>
  <si>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</si>
  <si>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</si>
  <si>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</si>
  <si>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</si>
  <si>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</si>
  <si>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</si>
  <si>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</si>
  <si>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</si>
  <si>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</si>
  <si>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</si>
  <si>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</si>
  <si>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</si>
  <si>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</si>
  <si>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</si>
  <si>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</si>
  <si>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</si>
  <si>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</si>
  <si>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</si>
  <si>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</si>
  <si>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</si>
  <si>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</si>
  <si>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</si>
  <si>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</si>
  <si>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</si>
  <si>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</si>
  <si>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</si>
  <si>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</si>
  <si>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</si>
  <si>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</si>
  <si>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</si>
  <si>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</si>
  <si>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</si>
  <si>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</si>
  <si>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</si>
  <si>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</si>
  <si>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</si>
  <si>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</si>
  <si>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</si>
  <si>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</si>
  <si>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</si>
  <si>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</si>
  <si>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</si>
  <si>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</si>
  <si>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</si>
  <si>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</si>
  <si>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</si>
  <si>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</si>
  <si>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</si>
  <si>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</si>
  <si>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</si>
  <si>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</si>
  <si>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</si>
  <si>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</si>
  <si>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</si>
  <si>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</si>
  <si>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</si>
  <si>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</si>
  <si>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</si>
  <si>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</si>
  <si>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</si>
  <si>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</si>
  <si>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</si>
  <si>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</si>
  <si>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</si>
  <si>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</si>
  <si>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</si>
  <si>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</si>
  <si>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</si>
  <si>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</si>
  <si>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</si>
  <si>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</si>
  <si>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</si>
  <si>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</si>
  <si>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</si>
  <si>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</si>
  <si>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</si>
  <si>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</si>
  <si>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</si>
  <si>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</si>
  <si>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</si>
  <si>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</si>
  <si>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</si>
  <si>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</si>
  <si>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</si>
  <si>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</si>
  <si>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</si>
  <si>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</si>
  <si>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</si>
  <si>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</si>
  <si>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</si>
  <si>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</si>
  <si>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</si>
  <si>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</si>
  <si>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</si>
  <si>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</si>
  <si>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</si>
  <si>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</si>
  <si>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</si>
  <si>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</si>
  <si>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</si>
  <si>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</si>
  <si>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</si>
  <si>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</si>
  <si>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</si>
  <si>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</si>
  <si>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</si>
  <si>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</si>
  <si>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</si>
  <si>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</si>
  <si>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</si>
  <si>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</si>
  <si>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</si>
  <si>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</si>
  <si>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</si>
  <si>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</si>
  <si>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</si>
  <si>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</si>
  <si>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</si>
  <si>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</si>
  <si>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</si>
  <si>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</si>
  <si>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</si>
  <si>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</si>
  <si>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</si>
  <si>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</si>
  <si>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</si>
  <si>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</si>
  <si>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</si>
  <si>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</si>
  <si>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</si>
  <si>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</si>
  <si>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</si>
  <si>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</si>
  <si>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</si>
  <si>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</si>
  <si>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</si>
  <si>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</si>
  <si>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</si>
  <si>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</si>
  <si>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</si>
  <si>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</si>
  <si>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</si>
  <si>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</si>
  <si>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</si>
  <si>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</si>
  <si>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</si>
  <si>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</si>
  <si>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</si>
  <si>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</si>
  <si>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</si>
  <si>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</si>
  <si>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</si>
  <si>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</si>
  <si>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</si>
  <si>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</si>
  <si>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</si>
  <si>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</si>
  <si>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</si>
  <si>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</si>
  <si>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</si>
  <si>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</si>
  <si>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</si>
  <si>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</si>
  <si>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</si>
  <si>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</si>
  <si>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</si>
  <si>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</si>
  <si>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</si>
  <si>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</si>
  <si>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</si>
  <si>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</si>
  <si>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</si>
  <si>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</si>
  <si>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</si>
  <si>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</si>
  <si>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</si>
  <si>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</si>
  <si>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</si>
  <si>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</si>
  <si>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</si>
  <si>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</si>
  <si>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</si>
  <si>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</si>
  <si>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</si>
  <si>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</si>
  <si>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</si>
  <si>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</si>
  <si>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</si>
  <si>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</si>
  <si>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</si>
  <si>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</si>
  <si>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</si>
  <si>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</si>
  <si>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</si>
  <si>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</si>
  <si>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</si>
  <si>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</si>
  <si>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</si>
  <si>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</si>
  <si>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</si>
  <si>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</si>
  <si>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</si>
  <si>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</si>
  <si>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</si>
  <si>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</si>
  <si>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</si>
  <si>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</si>
  <si>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</si>
  <si>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</si>
  <si>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</si>
  <si>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</si>
  <si>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</si>
  <si>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</si>
  <si>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</si>
  <si>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</si>
  <si>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</si>
  <si>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</si>
  <si>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</si>
  <si>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</si>
  <si>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</si>
  <si>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</si>
  <si>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</si>
  <si>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</si>
  <si>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</si>
  <si>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</si>
  <si>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</si>
  <si>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</si>
  <si>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</si>
  <si>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</si>
  <si>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</si>
  <si>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</si>
  <si>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</si>
  <si>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</si>
  <si>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</si>
  <si>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</si>
  <si>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</si>
  <si>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</si>
  <si>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</si>
  <si>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</si>
  <si>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</si>
  <si>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</si>
  <si>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</si>
  <si>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</si>
  <si>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</si>
  <si>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</si>
  <si>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</si>
  <si>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</si>
  <si>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</si>
  <si>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</si>
  <si>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</si>
  <si>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</si>
  <si>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</si>
  <si>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</si>
  <si>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</si>
  <si>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</si>
  <si>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</si>
  <si>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</si>
  <si>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</si>
  <si>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</si>
  <si>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</si>
  <si>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</si>
  <si>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</si>
  <si>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</si>
  <si>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</si>
  <si>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</si>
  <si>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</si>
  <si>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</si>
  <si>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</si>
  <si>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</si>
  <si>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</si>
  <si>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</si>
  <si>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</si>
  <si>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</si>
  <si>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</si>
  <si>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</si>
  <si>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</si>
  <si>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</si>
  <si>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</si>
  <si>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</si>
  <si>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</si>
  <si>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</si>
  <si>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</si>
  <si>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</si>
  <si>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</si>
  <si>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</si>
  <si>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</si>
  <si>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</si>
  <si>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</si>
  <si>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</si>
  <si>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</si>
  <si>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</si>
  <si>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</si>
  <si>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</si>
  <si>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</si>
  <si>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</si>
  <si>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</si>
  <si>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</si>
  <si>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</si>
  <si>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</si>
  <si>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</si>
  <si>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</si>
  <si>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</si>
  <si>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</si>
  <si>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</si>
  <si>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</si>
  <si>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</si>
  <si>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</si>
  <si>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</si>
  <si>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</si>
  <si>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</si>
  <si>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</si>
  <si>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</si>
  <si>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</si>
  <si>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</si>
  <si>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</si>
  <si>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</si>
  <si>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</si>
  <si>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</si>
  <si>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</si>
  <si>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</si>
  <si>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</si>
  <si>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</si>
  <si>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</si>
  <si>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</si>
  <si>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</si>
  <si>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</si>
  <si>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</si>
  <si>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</si>
  <si>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</si>
  <si>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</si>
  <si>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</si>
  <si>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</si>
  <si>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</si>
  <si>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</si>
  <si>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</si>
  <si>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</si>
  <si>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</si>
  <si>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</si>
  <si>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</si>
  <si>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</si>
  <si>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</si>
  <si>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</si>
  <si>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</si>
  <si>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</si>
  <si>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</si>
  <si>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</si>
  <si>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</si>
  <si>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</si>
  <si>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</si>
  <si>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</si>
  <si>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</si>
  <si>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</si>
  <si>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</si>
  <si>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</si>
  <si>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</si>
  <si>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</si>
  <si>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</si>
  <si>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</si>
  <si>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</si>
  <si>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</si>
  <si>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</si>
  <si>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</si>
  <si>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</si>
  <si>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</si>
  <si>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</si>
  <si>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</si>
  <si>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</si>
  <si>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</si>
  <si>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</si>
  <si>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</si>
  <si>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</si>
  <si>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</si>
  <si>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</si>
  <si>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</si>
  <si>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</si>
  <si>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</si>
  <si>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</si>
  <si>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</si>
  <si>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</si>
  <si>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</si>
  <si>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</si>
  <si>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</si>
  <si>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</si>
  <si>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</si>
  <si>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</si>
  <si>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</si>
  <si>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</si>
  <si>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</si>
  <si>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</si>
  <si>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</si>
  <si>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</si>
  <si>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</si>
  <si>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</si>
  <si>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</si>
  <si>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</si>
  <si>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</si>
  <si>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</si>
  <si>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</si>
  <si>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</si>
  <si>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</si>
  <si>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</si>
  <si>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</si>
  <si>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</si>
  <si>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</si>
  <si>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</si>
  <si>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</si>
  <si>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</si>
  <si>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</si>
  <si>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</si>
  <si>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</si>
  <si>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</si>
  <si>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</si>
  <si>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</si>
  <si>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</si>
  <si>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</si>
  <si>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</si>
  <si>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</si>
  <si>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</si>
  <si>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</si>
  <si>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</si>
  <si>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</si>
  <si>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</si>
  <si>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</si>
  <si>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</si>
  <si>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</si>
  <si>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</si>
  <si>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</si>
  <si>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</si>
  <si>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</si>
  <si>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</si>
  <si>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</si>
  <si>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</si>
  <si>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</si>
  <si>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</si>
  <si>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</si>
  <si>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</si>
  <si>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</si>
  <si>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</si>
  <si>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</si>
  <si>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</si>
  <si>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</si>
  <si>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</si>
  <si>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</si>
  <si>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</si>
  <si>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</si>
  <si>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</si>
  <si>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</si>
  <si>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</si>
  <si>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</si>
  <si>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</si>
  <si>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</si>
  <si>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</si>
  <si>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</si>
  <si>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</si>
  <si>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</si>
  <si>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</si>
  <si>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</si>
  <si>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</si>
  <si>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</si>
  <si>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</si>
  <si>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</si>
  <si>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</si>
  <si>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</si>
  <si>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</si>
  <si>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</si>
  <si>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</si>
  <si>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</si>
  <si>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</si>
  <si>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</si>
  <si>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</si>
  <si>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</si>
  <si>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</si>
  <si>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</si>
  <si>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</si>
  <si>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</si>
  <si>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</si>
  <si>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</si>
  <si>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</si>
  <si>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</si>
  <si>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</si>
  <si>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</si>
  <si>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</si>
  <si>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</si>
  <si>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</si>
  <si>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</si>
  <si>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</si>
  <si>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</si>
  <si>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</si>
  <si>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</si>
  <si>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</si>
  <si>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</si>
  <si>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</si>
  <si>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</si>
  <si>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</si>
  <si>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</si>
  <si>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</si>
  <si>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</si>
  <si>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</si>
  <si>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</si>
  <si>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</si>
  <si>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</si>
  <si>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</si>
  <si>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</si>
  <si>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</si>
  <si>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</si>
  <si>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</si>
  <si>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</si>
  <si>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</si>
  <si>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</si>
  <si>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</si>
  <si>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</si>
  <si>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</si>
  <si>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</si>
  <si>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</si>
  <si>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</si>
  <si>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</si>
  <si>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</si>
  <si>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</si>
  <si>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</si>
  <si>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</si>
  <si>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</si>
  <si>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</si>
  <si>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</si>
  <si>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</si>
  <si>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</si>
  <si>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</si>
  <si>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</si>
  <si>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</si>
  <si>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</si>
  <si>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</si>
  <si>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</si>
  <si>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</si>
  <si>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</si>
  <si>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</si>
  <si>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</si>
  <si>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</si>
  <si>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</si>
  <si>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</si>
  <si>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</si>
  <si>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</si>
  <si>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</si>
  <si>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</si>
  <si>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</si>
  <si>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</si>
  <si>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</si>
  <si>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</si>
  <si>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</si>
  <si>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</si>
  <si>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</si>
  <si>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</si>
  <si>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</si>
  <si>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</si>
  <si>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</si>
  <si>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</si>
  <si>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</si>
  <si>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</si>
  <si>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</si>
  <si>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</si>
  <si>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</si>
  <si>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</si>
  <si>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</si>
  <si>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</si>
  <si>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</si>
  <si>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</si>
  <si>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</si>
  <si>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</si>
  <si>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</si>
  <si>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</si>
  <si>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</si>
  <si>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</si>
  <si>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</si>
  <si>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</si>
  <si>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</si>
  <si>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</si>
  <si>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</si>
  <si>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</si>
  <si>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</si>
  <si>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</si>
  <si>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</si>
  <si>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</si>
  <si>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</si>
  <si>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</si>
  <si>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</si>
  <si>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</si>
  <si>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</si>
  <si>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</si>
  <si>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</si>
  <si>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</si>
  <si>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</si>
  <si>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</si>
  <si>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</si>
  <si>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</si>
  <si>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</si>
  <si>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</si>
  <si>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</si>
  <si>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</si>
  <si>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</si>
  <si>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</si>
  <si>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</si>
  <si>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</si>
  <si>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</si>
  <si>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</si>
  <si>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</si>
  <si>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</si>
  <si>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</si>
  <si>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</si>
  <si>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</si>
  <si>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</si>
  <si>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</si>
  <si>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</si>
  <si>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</si>
  <si>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</si>
  <si>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</si>
  <si>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</si>
  <si>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</si>
  <si>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</si>
  <si>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</si>
  <si>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</si>
  <si>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</si>
  <si>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</si>
  <si>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</si>
  <si>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</si>
  <si>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</si>
  <si>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</si>
  <si>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</si>
  <si>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</si>
  <si>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</si>
  <si>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</si>
  <si>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</si>
  <si>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</si>
  <si>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</si>
  <si>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</si>
  <si>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</si>
  <si>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</si>
  <si>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</si>
  <si>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</si>
  <si>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</si>
  <si>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</si>
  <si>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</si>
  <si>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</si>
  <si>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</si>
  <si>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</si>
  <si>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</si>
  <si>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</si>
  <si>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</si>
  <si>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</si>
  <si>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</si>
  <si>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</si>
  <si>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</si>
  <si>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</si>
  <si>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</si>
  <si>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</si>
  <si>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</si>
  <si>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</si>
  <si>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</si>
  <si>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</si>
  <si>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</si>
  <si>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</si>
  <si>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</si>
  <si>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</si>
  <si>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</si>
  <si>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</si>
  <si>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</si>
  <si>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</si>
  <si>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</si>
  <si>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</si>
  <si>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</si>
  <si>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</si>
  <si>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</si>
  <si>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</si>
  <si>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</si>
  <si>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</si>
  <si>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</si>
  <si>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</si>
  <si>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</si>
  <si>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</si>
  <si>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</si>
  <si>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</si>
  <si>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</si>
  <si>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</si>
  <si>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</si>
  <si>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</si>
  <si>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</si>
  <si>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</si>
  <si>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</si>
  <si>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</si>
  <si>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</si>
  <si>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</si>
  <si>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</si>
  <si>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</si>
  <si>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</si>
  <si>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</si>
  <si>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</si>
  <si>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</si>
  <si>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</si>
  <si>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</si>
  <si>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</si>
  <si>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</si>
  <si>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</si>
  <si>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</si>
  <si>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</si>
  <si>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</si>
  <si>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</si>
  <si>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</si>
  <si>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</si>
  <si>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</si>
  <si>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</si>
  <si>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</si>
  <si>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</si>
  <si>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</si>
  <si>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</si>
  <si>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</si>
  <si>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</si>
  <si>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</si>
  <si>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</si>
  <si>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</si>
  <si>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</si>
  <si>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</si>
  <si>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</si>
  <si>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</si>
  <si>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</si>
  <si>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</si>
  <si>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</si>
  <si>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</si>
  <si>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</si>
  <si>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</si>
  <si>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</si>
  <si>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</si>
  <si>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</si>
  <si>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</si>
  <si>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</si>
  <si>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</si>
  <si>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</si>
  <si>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</si>
  <si>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</si>
  <si>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</si>
  <si>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</si>
  <si>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</si>
  <si>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</si>
  <si>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</si>
  <si>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</si>
  <si>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</si>
  <si>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</si>
  <si>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</si>
  <si>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</si>
  <si>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</si>
  <si>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</si>
  <si>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</si>
  <si>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</si>
  <si>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</si>
  <si>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</si>
  <si>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</si>
  <si>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</si>
  <si>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</si>
  <si>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</si>
  <si>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</si>
  <si>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</si>
  <si>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</si>
  <si>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</si>
  <si>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</si>
  <si>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</si>
  <si>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</si>
  <si>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</si>
  <si>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</si>
  <si>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</si>
  <si>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</si>
  <si>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</si>
  <si>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</si>
  <si>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</si>
  <si>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</si>
  <si>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</si>
  <si>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</si>
  <si>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</si>
  <si>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</si>
  <si>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</si>
  <si>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</si>
  <si>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</si>
  <si>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</si>
  <si>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</si>
  <si>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</si>
  <si>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</si>
  <si>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</si>
  <si>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</si>
  <si>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</si>
  <si>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</si>
  <si>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</si>
  <si>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</si>
  <si>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</si>
  <si>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</si>
  <si>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</si>
  <si>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</si>
  <si>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</si>
  <si>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</si>
  <si>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</si>
  <si>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</si>
  <si>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</si>
  <si>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</si>
  <si>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</si>
  <si>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</si>
  <si>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</si>
  <si>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</si>
  <si>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</si>
  <si>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</si>
  <si>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</si>
  <si>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</si>
  <si>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</si>
  <si>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</si>
  <si>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</si>
  <si>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</si>
  <si>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</si>
  <si>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</si>
  <si>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</si>
  <si>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</si>
  <si>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</si>
  <si>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</si>
  <si>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</si>
  <si>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</si>
  <si>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</si>
  <si>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</si>
  <si>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</si>
  <si>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</si>
  <si>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</si>
  <si>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</si>
  <si>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</si>
  <si>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</si>
  <si>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</si>
  <si>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</si>
  <si>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</si>
  <si>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</si>
  <si>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</si>
  <si>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</si>
  <si>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</si>
  <si>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</si>
  <si>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</si>
  <si>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</si>
  <si>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</si>
  <si>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</si>
  <si>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</si>
  <si>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</si>
  <si>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</si>
  <si>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</si>
  <si>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</si>
  <si>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</si>
  <si>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</si>
  <si>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</si>
  <si>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</si>
  <si>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</si>
  <si>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</si>
  <si>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</si>
  <si>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</si>
  <si>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</si>
  <si>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</si>
  <si>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</si>
  <si>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</si>
  <si>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</si>
  <si>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</si>
  <si>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</si>
  <si>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</si>
  <si>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</si>
  <si>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</si>
  <si>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</si>
  <si>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</si>
  <si>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</si>
  <si>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</si>
  <si>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</si>
  <si>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</si>
  <si>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</si>
  <si>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</si>
  <si>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</si>
  <si>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</si>
  <si>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</si>
  <si>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</si>
  <si>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</si>
  <si>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</si>
  <si>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</si>
  <si>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</si>
  <si>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</si>
  <si>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</si>
  <si>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</si>
  <si>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</si>
  <si>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</si>
  <si>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</si>
  <si>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</si>
  <si>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</si>
  <si>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</si>
  <si>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</si>
  <si>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</si>
  <si>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</si>
  <si>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</si>
  <si>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</si>
  <si>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</si>
  <si>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</si>
  <si>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</si>
  <si>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</si>
  <si>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</si>
  <si>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</si>
  <si>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</si>
  <si>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</si>
  <si>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</si>
  <si>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</si>
  <si>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</si>
  <si>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</si>
  <si>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</si>
  <si>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</si>
  <si>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</si>
  <si>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</si>
  <si>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</si>
  <si>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</si>
  <si>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</si>
  <si>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</si>
  <si>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</si>
  <si>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</si>
  <si>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</si>
  <si>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</si>
  <si>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</si>
  <si>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</si>
  <si>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</si>
  <si>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</si>
  <si>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</si>
  <si>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</si>
  <si>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</si>
  <si>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</si>
  <si>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</si>
  <si>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</si>
  <si>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</si>
  <si>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</si>
  <si>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</si>
  <si>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</si>
  <si>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</si>
  <si>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</si>
  <si>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</si>
  <si>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</si>
  <si>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</si>
  <si>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</si>
  <si>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</si>
  <si>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</si>
  <si>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</si>
  <si>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</si>
  <si>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</si>
  <si>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</si>
  <si>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</si>
  <si>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</si>
  <si>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</si>
  <si>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</si>
  <si>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</si>
  <si>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</si>
  <si>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</si>
  <si>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</si>
  <si>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</si>
  <si>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</si>
  <si>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</si>
  <si>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</si>
  <si>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</si>
  <si>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</si>
  <si>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</si>
  <si>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</si>
  <si>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</si>
  <si>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</si>
  <si>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</si>
  <si>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</si>
  <si>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</si>
  <si>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</si>
  <si>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</si>
  <si>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</si>
  <si>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</si>
  <si>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</si>
  <si>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</si>
  <si>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</si>
  <si>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</si>
  <si>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</si>
  <si>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</si>
  <si>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</si>
  <si>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</si>
  <si>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</si>
  <si>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</si>
  <si>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</si>
  <si>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</si>
  <si>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</si>
  <si>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</si>
  <si>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</si>
  <si>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</si>
  <si>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</si>
  <si>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</si>
  <si>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</si>
  <si>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</si>
  <si>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</si>
  <si>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</si>
  <si>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</si>
  <si>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</si>
  <si>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</si>
  <si>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</si>
  <si>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</si>
  <si>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</si>
  <si>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</si>
  <si>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</si>
  <si>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</si>
  <si>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</si>
  <si>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</si>
  <si>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</si>
  <si>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</si>
  <si>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</si>
  <si>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</si>
  <si>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</si>
  <si>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</si>
  <si>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</si>
  <si>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</si>
  <si>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</si>
  <si>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</si>
  <si>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</si>
  <si>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</si>
  <si>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</si>
  <si>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</si>
  <si>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</si>
  <si>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</si>
  <si>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</si>
  <si>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</si>
  <si>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</si>
  <si>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</si>
  <si>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</si>
  <si>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</si>
  <si>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</si>
  <si>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</si>
  <si>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</si>
  <si>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</si>
  <si>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</si>
  <si>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</si>
  <si>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</si>
  <si>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</si>
  <si>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</si>
  <si>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</si>
  <si>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</si>
  <si>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</si>
  <si>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</si>
  <si>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</si>
  <si>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</si>
  <si>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</si>
  <si>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</si>
  <si>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</si>
  <si>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</si>
  <si>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</si>
  <si>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</si>
  <si>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</si>
  <si>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</si>
  <si>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</si>
  <si>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</si>
  <si>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</si>
  <si>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</si>
  <si>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</si>
  <si>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</si>
  <si>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</si>
  <si>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</si>
  <si>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</si>
  <si>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</si>
  <si>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</si>
  <si>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</si>
  <si>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</si>
  <si>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</si>
  <si>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</si>
  <si>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</si>
  <si>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</si>
  <si>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</si>
  <si>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</si>
  <si>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</si>
  <si>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</si>
  <si>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</si>
  <si>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</si>
  <si>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</si>
  <si>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</si>
  <si>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</si>
  <si>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</si>
  <si>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</si>
  <si>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</si>
  <si>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</si>
  <si>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</si>
  <si>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</si>
  <si>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</si>
  <si>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</si>
  <si>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</si>
  <si>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</si>
  <si>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</si>
  <si>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</si>
  <si>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</si>
  <si>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</si>
  <si>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</si>
  <si>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</si>
  <si>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</si>
  <si>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</si>
  <si>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</si>
  <si>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</si>
  <si>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</si>
  <si>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</si>
  <si>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</si>
  <si>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</si>
  <si>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</si>
  <si>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</si>
  <si>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</si>
  <si>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</si>
  <si>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</si>
  <si>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</si>
  <si>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</si>
  <si>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</si>
  <si>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</si>
  <si>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</si>
  <si>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</si>
  <si>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</si>
  <si>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</si>
  <si>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</si>
  <si>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</si>
  <si>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</si>
  <si>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</si>
  <si>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</si>
  <si>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</si>
  <si>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</si>
  <si>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</si>
  <si>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</si>
  <si>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</si>
  <si>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</si>
  <si>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</si>
  <si>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</si>
  <si>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</si>
  <si>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</si>
  <si>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</si>
  <si>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</si>
  <si>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</si>
  <si>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</si>
  <si>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</si>
  <si>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</si>
  <si>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</si>
  <si>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</si>
  <si>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</si>
  <si>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</si>
  <si>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</si>
  <si>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</si>
  <si>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</si>
  <si>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</si>
  <si>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</si>
  <si>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</si>
  <si>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</si>
  <si>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</si>
  <si>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</si>
  <si>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</si>
  <si>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</si>
  <si>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</si>
  <si>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</si>
  <si>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</si>
  <si>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</si>
  <si>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</si>
  <si>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</si>
  <si>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</si>
  <si>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</si>
  <si>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</si>
  <si>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</si>
  <si>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</si>
  <si>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</si>
  <si>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</si>
  <si>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</si>
  <si>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</si>
  <si>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</si>
  <si>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</si>
  <si>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</si>
  <si>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</si>
  <si>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</si>
  <si>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</si>
  <si>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</si>
  <si>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</si>
  <si>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</si>
  <si>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</si>
  <si>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</si>
  <si>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</si>
  <si>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</si>
  <si>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</si>
  <si>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</si>
  <si>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</si>
  <si>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</si>
  <si>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</si>
  <si>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</si>
  <si>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</si>
  <si>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</si>
  <si>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</si>
  <si>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</si>
  <si>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</si>
  <si>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</si>
  <si>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</si>
  <si>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</si>
  <si>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</si>
  <si>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</si>
  <si>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</si>
  <si>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</si>
  <si>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</si>
  <si>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</si>
  <si>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</si>
  <si>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</si>
  <si>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</si>
  <si>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</si>
  <si>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</si>
  <si>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</si>
  <si>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</si>
  <si>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</si>
  <si>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</si>
  <si>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</si>
  <si>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</si>
  <si>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</si>
  <si>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</si>
  <si>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</si>
  <si>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</si>
  <si>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</si>
  <si>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</si>
  <si>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</si>
  <si>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</si>
  <si>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</si>
  <si>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</si>
  <si>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</si>
  <si>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</si>
  <si>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</si>
  <si>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</si>
  <si>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</si>
  <si>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</si>
  <si>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</si>
  <si>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</si>
  <si>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</si>
  <si>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</si>
  <si>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</si>
  <si>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</si>
  <si>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</si>
  <si>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</si>
  <si>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</si>
  <si>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</si>
  <si>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</si>
  <si>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</si>
  <si>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</si>
  <si>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</si>
  <si>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</si>
  <si>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</si>
  <si>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</si>
  <si>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</si>
  <si>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</si>
  <si>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</si>
  <si>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</si>
  <si>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</si>
  <si>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</si>
  <si>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</si>
  <si>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</si>
  <si>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</si>
  <si>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</si>
  <si>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</si>
  <si>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</si>
  <si>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</si>
  <si>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</si>
  <si>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</si>
  <si>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</si>
  <si>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</si>
  <si>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</si>
  <si>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</si>
  <si>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</si>
  <si>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</si>
  <si>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</si>
  <si>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</si>
  <si>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</si>
  <si>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</si>
  <si>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</si>
  <si>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</si>
  <si>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</si>
  <si>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</si>
  <si>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</si>
  <si>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</si>
  <si>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</si>
  <si>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</si>
  <si>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</si>
  <si>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</si>
  <si>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</si>
  <si>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</si>
  <si>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</si>
  <si>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</si>
  <si>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</si>
  <si>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</si>
  <si>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</si>
  <si>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</si>
  <si>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</si>
  <si>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</si>
  <si>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</si>
  <si>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</si>
  <si>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</si>
  <si>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</si>
  <si>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</si>
  <si>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</si>
  <si>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</si>
  <si>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</si>
  <si>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</si>
  <si>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</si>
  <si>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</si>
  <si>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</si>
  <si>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</si>
  <si>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</si>
  <si>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</si>
  <si>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</si>
  <si>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</si>
  <si>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</si>
  <si>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</si>
  <si>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</si>
  <si>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</si>
  <si>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</si>
  <si>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</si>
  <si>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</si>
  <si>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</si>
  <si>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</si>
  <si>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</si>
  <si>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</si>
  <si>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</si>
  <si>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</si>
  <si>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</si>
  <si>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</si>
  <si>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</si>
  <si>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</si>
  <si>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</si>
  <si>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</si>
  <si>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</si>
  <si>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</si>
  <si>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</si>
  <si>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</si>
  <si>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</si>
  <si>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</si>
  <si>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</si>
  <si>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</si>
  <si>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</si>
  <si>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</si>
  <si>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</si>
  <si>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</si>
  <si>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</si>
  <si>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</si>
  <si>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</si>
  <si>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</si>
  <si>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</si>
  <si>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</si>
  <si>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</si>
  <si>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</si>
  <si>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</si>
  <si>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</si>
  <si>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</si>
  <si>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</si>
  <si>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</si>
  <si>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</si>
  <si>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</si>
  <si>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</si>
  <si>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</si>
  <si>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</si>
  <si>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</si>
  <si>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</si>
  <si>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</si>
  <si>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</si>
  <si>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</si>
  <si>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</si>
  <si>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</si>
  <si>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</si>
  <si>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</si>
  <si>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</si>
  <si>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</si>
  <si>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</si>
  <si>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</si>
  <si>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</si>
  <si>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</si>
  <si>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</si>
  <si>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</si>
  <si>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</si>
  <si>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</si>
  <si>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</si>
  <si>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</si>
  <si>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</si>
  <si>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</si>
  <si>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</si>
  <si>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</si>
  <si>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</si>
  <si>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</si>
  <si>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</si>
  <si>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</si>
  <si>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</si>
  <si>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</si>
  <si>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</si>
  <si>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</si>
  <si>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</si>
  <si>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</si>
  <si>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</si>
  <si>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</si>
  <si>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</si>
  <si>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</si>
  <si>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</si>
  <si>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</si>
  <si>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</si>
  <si>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</si>
  <si>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</si>
  <si>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</si>
  <si>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</si>
  <si>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</si>
  <si>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</si>
  <si>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</si>
  <si>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</si>
  <si>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</si>
  <si>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</si>
  <si>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</si>
  <si>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</si>
  <si>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</si>
  <si>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</si>
  <si>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</si>
  <si>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</si>
  <si>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</si>
  <si>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</si>
  <si>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</si>
  <si>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</si>
  <si>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</si>
  <si>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</si>
  <si>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</si>
  <si>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</si>
  <si>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</si>
  <si>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</si>
  <si>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</si>
  <si>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</si>
  <si>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</si>
  <si>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</si>
  <si>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</si>
  <si>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</si>
  <si>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</si>
  <si>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</si>
  <si>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</si>
  <si>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</si>
  <si>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</si>
  <si>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</si>
  <si>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</si>
  <si>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</si>
  <si>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</si>
  <si>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</si>
  <si>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</si>
  <si>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</si>
  <si>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</si>
  <si>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</si>
  <si>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</si>
  <si>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</si>
  <si>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</si>
  <si>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</si>
  <si>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</si>
  <si>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</si>
  <si>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</si>
  <si>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</si>
  <si>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</si>
  <si>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</si>
  <si>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</si>
  <si>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</si>
  <si>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</si>
  <si>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</si>
  <si>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</si>
  <si>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</si>
  <si>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</si>
  <si>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</si>
  <si>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</si>
  <si>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</si>
  <si>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</si>
  <si>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</si>
  <si>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</si>
  <si>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</si>
  <si>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</si>
  <si>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</si>
  <si>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</si>
  <si>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</si>
  <si>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</si>
  <si>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</si>
  <si>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</si>
  <si>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</si>
  <si>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</si>
  <si>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</si>
  <si>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</si>
  <si>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</si>
  <si>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</si>
  <si>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</si>
  <si>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</si>
  <si>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</si>
  <si>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</si>
  <si>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</si>
  <si>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</si>
  <si>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</si>
  <si>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</si>
  <si>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</si>
  <si>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</si>
  <si>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</si>
  <si>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</si>
  <si>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</si>
  <si>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</si>
  <si>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</si>
  <si>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</si>
  <si>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</si>
  <si>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</si>
  <si>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</si>
  <si>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</si>
  <si>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</si>
  <si>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</si>
  <si>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</si>
  <si>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</si>
  <si>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</si>
  <si>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</si>
  <si>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</si>
  <si>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</si>
  <si>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</si>
  <si>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</si>
  <si>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</si>
  <si>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</si>
  <si>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</si>
  <si>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</si>
  <si>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</si>
  <si>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</si>
  <si>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</si>
  <si>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</si>
  <si>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</si>
  <si>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</si>
  <si>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</si>
  <si>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</si>
  <si>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</si>
  <si>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</si>
  <si>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</si>
  <si>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</si>
  <si>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</si>
  <si>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</si>
  <si>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</si>
  <si>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</si>
  <si>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</si>
  <si>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</si>
  <si>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</si>
  <si>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</si>
  <si>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</si>
  <si>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</si>
  <si>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</si>
  <si>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</si>
  <si>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</si>
  <si>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</si>
  <si>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</si>
  <si>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</si>
  <si>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</si>
  <si>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</si>
  <si>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</si>
  <si>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</si>
  <si>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</si>
  <si>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</si>
  <si>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</si>
  <si>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</si>
  <si>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</si>
  <si>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</si>
  <si>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</si>
  <si>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</si>
  <si>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</si>
  <si>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</si>
  <si>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</si>
  <si>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</si>
  <si>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</si>
  <si>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</si>
  <si>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</si>
  <si>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</si>
  <si>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</si>
  <si>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</si>
  <si>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</si>
  <si>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</si>
  <si>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</si>
  <si>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</si>
  <si>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</si>
  <si>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</si>
  <si>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</si>
  <si>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</si>
  <si>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</si>
  <si>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</si>
  <si>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</si>
  <si>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</si>
  <si>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</si>
  <si>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</si>
  <si>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</si>
  <si>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</si>
  <si>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</si>
  <si>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</si>
  <si>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</si>
  <si>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</si>
  <si>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</si>
  <si>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</si>
  <si>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</si>
  <si>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</si>
  <si>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</si>
  <si>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</si>
  <si>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</si>
  <si>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</si>
  <si>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</si>
  <si>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</si>
  <si>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</si>
  <si>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</si>
  <si>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</si>
  <si>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</si>
  <si>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</si>
  <si>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</si>
  <si>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</si>
  <si>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</si>
  <si>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</si>
  <si>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</si>
  <si>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</si>
  <si>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</si>
  <si>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</si>
  <si>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</si>
  <si>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</si>
  <si>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</si>
  <si>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</si>
  <si>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</si>
  <si>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</si>
  <si>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</si>
  <si>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</si>
  <si>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</si>
  <si>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</si>
  <si>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</si>
  <si>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</si>
  <si>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</si>
  <si>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</si>
  <si>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</si>
  <si>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</si>
  <si>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</si>
  <si>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</si>
  <si>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</si>
  <si>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</si>
  <si>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</si>
  <si>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</si>
  <si>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</si>
  <si>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</si>
  <si>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</si>
  <si>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</si>
  <si>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</si>
  <si>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</si>
  <si>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</si>
  <si>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</si>
  <si>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</si>
  <si>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</si>
  <si>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</si>
  <si>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</si>
  <si>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</si>
  <si>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</si>
  <si>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</si>
  <si>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</si>
  <si>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</si>
  <si>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</si>
  <si>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</si>
  <si>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</si>
  <si>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</si>
  <si>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</si>
  <si>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</si>
  <si>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</si>
  <si>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</si>
  <si>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</si>
  <si>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</si>
  <si>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</si>
  <si>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</si>
  <si>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</si>
  <si>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</si>
  <si>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</si>
  <si>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</si>
  <si>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</si>
  <si>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</si>
  <si>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</si>
  <si>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</si>
  <si>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</si>
  <si>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</si>
  <si>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</si>
  <si>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</si>
  <si>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</si>
  <si>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</si>
  <si>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</si>
  <si>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</si>
  <si>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</si>
  <si>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</si>
  <si>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</si>
  <si>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</si>
  <si>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</si>
  <si>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</si>
  <si>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</si>
  <si>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</si>
  <si>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</si>
  <si>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</si>
  <si>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</si>
  <si>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</si>
  <si>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</si>
  <si>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</si>
  <si>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</si>
  <si>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</si>
  <si>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</si>
  <si>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</si>
  <si>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</si>
  <si>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</si>
  <si>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</si>
  <si>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</si>
  <si>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</si>
  <si>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</si>
  <si>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</si>
  <si>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</si>
  <si>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</si>
  <si>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</si>
  <si>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</si>
  <si>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</si>
  <si>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</si>
  <si>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</si>
  <si>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</si>
  <si>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</si>
  <si>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</si>
  <si>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</si>
  <si>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</si>
  <si>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</si>
  <si>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</si>
  <si>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</si>
  <si>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</si>
  <si>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</si>
  <si>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</si>
  <si>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</si>
  <si>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</si>
  <si>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</si>
  <si>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</si>
  <si>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</si>
  <si>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</si>
  <si>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</si>
  <si>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</si>
  <si>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</si>
  <si>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</si>
  <si>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</si>
  <si>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</si>
  <si>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</si>
  <si>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</si>
  <si>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</si>
  <si>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</si>
  <si>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</si>
  <si>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</si>
  <si>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</si>
  <si>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</si>
  <si>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</si>
  <si>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</si>
  <si>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</si>
  <si>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</si>
  <si>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</si>
  <si>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</si>
  <si>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</si>
  <si>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</si>
  <si>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</si>
  <si>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</si>
  <si>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</si>
  <si>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</si>
  <si>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</si>
  <si>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</si>
  <si>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</si>
  <si>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</si>
  <si>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</si>
  <si>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</si>
  <si>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</si>
  <si>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</si>
  <si>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</si>
  <si>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</si>
  <si>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</si>
  <si>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</si>
  <si>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</si>
  <si>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</si>
  <si>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</si>
  <si>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</si>
  <si>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</si>
  <si>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</si>
  <si>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</si>
  <si>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</si>
  <si>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</si>
  <si>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</si>
  <si>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</si>
  <si>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</si>
  <si>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</si>
  <si>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</si>
  <si>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</si>
  <si>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</si>
  <si>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</si>
  <si>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</si>
  <si>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</si>
  <si>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</si>
  <si>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</si>
  <si>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</si>
  <si>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</si>
  <si>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</si>
  <si>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</si>
  <si>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</si>
  <si>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</si>
  <si>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</si>
  <si>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</si>
  <si>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</si>
  <si>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</si>
  <si>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</si>
  <si>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</si>
  <si>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</si>
  <si>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</si>
  <si>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</si>
  <si>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</si>
  <si>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</si>
  <si>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</si>
  <si>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</si>
  <si>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</si>
  <si>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</si>
  <si>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</si>
  <si>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</si>
  <si>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</si>
  <si>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</si>
  <si>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</si>
  <si>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</si>
  <si>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</si>
  <si>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</si>
  <si>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</si>
  <si>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</si>
  <si>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</si>
  <si>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</si>
  <si>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</si>
  <si>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</si>
  <si>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</si>
  <si>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</si>
  <si>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</si>
  <si>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</si>
  <si>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</si>
  <si>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</si>
  <si>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</si>
  <si>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</si>
  <si>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</si>
  <si>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</si>
  <si>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</si>
  <si>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</si>
  <si>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</si>
  <si>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</si>
  <si>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</si>
  <si>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</si>
  <si>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</si>
  <si>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</si>
  <si>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</si>
  <si>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</si>
  <si>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</si>
  <si>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</si>
  <si>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</si>
  <si>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</si>
  <si>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</si>
  <si>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</si>
  <si>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</si>
  <si>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</si>
  <si>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</si>
  <si>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</si>
  <si>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</si>
  <si>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</si>
  <si>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</si>
  <si>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</si>
  <si>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</si>
  <si>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</si>
  <si>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</si>
  <si>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</si>
  <si>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</si>
  <si>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</si>
  <si>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</si>
  <si>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</si>
  <si>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</si>
  <si>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</si>
  <si>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</si>
  <si>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</si>
  <si>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</si>
  <si>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</si>
  <si>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</si>
  <si>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</si>
  <si>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</si>
  <si>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</si>
  <si>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</si>
  <si>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</si>
  <si>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</si>
  <si>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</si>
  <si>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</si>
  <si>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</si>
  <si>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</si>
  <si>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</si>
  <si>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</si>
  <si>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</si>
  <si>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</si>
  <si>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</si>
  <si>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</si>
  <si>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</si>
  <si>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</si>
  <si>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</si>
  <si>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</si>
  <si>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</si>
  <si>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</si>
  <si>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</si>
  <si>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</si>
  <si>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</si>
  <si>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</si>
  <si>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</si>
  <si>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</si>
  <si>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</si>
  <si>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</si>
  <si>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</si>
  <si>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</si>
  <si>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</si>
  <si>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</si>
  <si>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</si>
  <si>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</si>
  <si>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</si>
  <si>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</si>
  <si>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</si>
  <si>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</si>
  <si>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</si>
  <si>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</si>
  <si>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</si>
  <si>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</si>
  <si>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</si>
  <si>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</si>
  <si>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</si>
  <si>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</si>
  <si>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</si>
  <si>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</si>
  <si>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</si>
  <si>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</si>
  <si>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</si>
  <si>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</si>
  <si>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</si>
  <si>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</si>
  <si>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</si>
  <si>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</si>
  <si>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</si>
  <si>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</si>
  <si>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</si>
  <si>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</si>
  <si>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</si>
  <si>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</si>
  <si>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</si>
  <si>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</si>
  <si>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</si>
  <si>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</si>
  <si>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</si>
  <si>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</si>
  <si>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</si>
  <si>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</si>
  <si>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</si>
  <si>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</si>
  <si>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</si>
  <si>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</si>
  <si>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</si>
  <si>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</si>
  <si>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</si>
  <si>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</si>
  <si>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</si>
  <si>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</si>
  <si>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</si>
  <si>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</si>
  <si>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</si>
  <si>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</si>
  <si>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</si>
  <si>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</si>
  <si>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</si>
  <si>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</si>
  <si>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</si>
  <si>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</si>
  <si>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</si>
  <si>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</si>
  <si>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</si>
  <si>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</si>
  <si>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</si>
  <si>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</si>
  <si>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</si>
  <si>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</si>
  <si>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</si>
  <si>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</si>
  <si>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</si>
  <si>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</si>
  <si>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</si>
  <si>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</si>
  <si>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</si>
  <si>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</si>
  <si>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</si>
  <si>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</si>
  <si>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</si>
  <si>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</si>
  <si>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</si>
  <si>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</si>
  <si>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</si>
  <si>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</si>
  <si>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</si>
  <si>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</si>
  <si>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</si>
  <si>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</si>
  <si>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</si>
  <si>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</si>
  <si>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</si>
  <si>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</si>
  <si>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</si>
  <si>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</si>
  <si>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</si>
  <si>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</si>
  <si>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</si>
  <si>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</si>
  <si>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</si>
  <si>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</si>
  <si>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</si>
  <si>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</si>
  <si>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</si>
  <si>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</si>
  <si>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</si>
  <si>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</si>
  <si>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</si>
  <si>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</si>
  <si>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</si>
  <si>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</si>
  <si>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</si>
  <si>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</si>
  <si>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</si>
  <si>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</si>
  <si>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</si>
  <si>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</si>
  <si>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</si>
  <si>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</si>
  <si>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</si>
  <si>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</si>
  <si>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</si>
  <si>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</si>
  <si>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</si>
  <si>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</si>
  <si>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</si>
  <si>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</si>
  <si>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</si>
  <si>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</si>
  <si>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</si>
  <si>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</si>
  <si>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</si>
  <si>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</si>
  <si>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</si>
  <si>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</si>
  <si>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</si>
  <si>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</si>
  <si>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</si>
  <si>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</si>
  <si>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</si>
  <si>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</si>
  <si>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</si>
  <si>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</si>
  <si>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</si>
  <si>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</si>
  <si>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</si>
  <si>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</si>
  <si>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</si>
  <si>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</si>
  <si>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</si>
  <si>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</si>
  <si>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</si>
  <si>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</si>
  <si>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</si>
  <si>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</si>
  <si>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</si>
  <si>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</si>
  <si>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</si>
  <si>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</si>
  <si>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</si>
  <si>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</si>
  <si>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</si>
  <si>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</si>
  <si>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</si>
  <si>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</si>
  <si>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</si>
  <si>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</si>
  <si>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</si>
  <si>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</si>
  <si>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</si>
  <si>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</si>
  <si>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</si>
  <si>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</si>
  <si>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</si>
  <si>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</si>
  <si>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</si>
  <si>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</si>
  <si>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</si>
  <si>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</si>
  <si>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</si>
  <si>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</si>
  <si>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</si>
  <si>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</si>
  <si>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</si>
  <si>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</si>
  <si>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</si>
  <si>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</si>
  <si>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</si>
  <si>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</si>
  <si>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</si>
  <si>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</si>
  <si>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</si>
  <si>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</si>
  <si>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</si>
  <si>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</si>
  <si>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</si>
  <si>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</si>
  <si>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</si>
  <si>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</si>
  <si>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</si>
  <si>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</si>
  <si>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</si>
  <si>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</si>
  <si>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</si>
  <si>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</si>
  <si>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</si>
  <si>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</si>
  <si>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</si>
  <si>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</si>
  <si>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</si>
  <si>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</si>
  <si>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</si>
  <si>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</si>
  <si>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</si>
  <si>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</si>
  <si>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</si>
  <si>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</si>
  <si>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</si>
  <si>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</si>
  <si>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</si>
  <si>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</si>
  <si>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</si>
  <si>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</si>
  <si>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</si>
  <si>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</si>
  <si>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</si>
  <si>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</si>
  <si>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</si>
  <si>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</si>
  <si>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</si>
  <si>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</si>
  <si>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</si>
  <si>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</si>
  <si>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</si>
  <si>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</si>
  <si>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</si>
  <si>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</si>
  <si>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</si>
  <si>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</si>
  <si>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</si>
  <si>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</si>
  <si>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</si>
  <si>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</si>
  <si>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</si>
  <si>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</si>
  <si>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</si>
  <si>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</si>
  <si>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</si>
  <si>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</si>
  <si>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</si>
  <si>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</si>
  <si>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</si>
  <si>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</si>
  <si>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</si>
  <si>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</si>
  <si>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</si>
  <si>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</si>
  <si>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</si>
  <si>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</si>
  <si>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</si>
  <si>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</si>
  <si>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</si>
  <si>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</si>
  <si>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</si>
  <si>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</si>
  <si>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</si>
  <si>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</si>
  <si>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</si>
  <si>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</si>
  <si>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</si>
  <si>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</si>
  <si>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</si>
  <si>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</si>
  <si>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</si>
  <si>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</si>
  <si>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</si>
  <si>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</si>
  <si>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</si>
  <si>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</si>
  <si>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</si>
  <si>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</si>
  <si>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</si>
  <si>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</si>
  <si>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</si>
  <si>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</si>
  <si>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</si>
  <si>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</si>
  <si>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</si>
  <si>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</si>
  <si>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</si>
  <si>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</si>
  <si>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</si>
  <si>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</si>
  <si>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</si>
  <si>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</si>
  <si>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</si>
  <si>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</si>
  <si>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</si>
  <si>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</si>
  <si>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</si>
  <si>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</si>
  <si>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</si>
  <si>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</si>
  <si>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</si>
  <si>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</si>
  <si>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</si>
  <si>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</si>
  <si>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</si>
  <si>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</si>
  <si>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</si>
  <si>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</si>
  <si>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</si>
  <si>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</si>
  <si>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</si>
  <si>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</si>
  <si>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</si>
  <si>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</si>
  <si>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</si>
  <si>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</si>
  <si>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</si>
  <si>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</si>
  <si>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</si>
  <si>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</si>
  <si>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</si>
  <si>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</si>
  <si>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</si>
  <si>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</si>
  <si>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</si>
  <si>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</si>
  <si>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</si>
  <si>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</si>
  <si>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</si>
  <si>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</si>
  <si>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</si>
  <si>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</si>
  <si>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</si>
  <si>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</si>
  <si>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</si>
  <si>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</si>
  <si>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</si>
  <si>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</si>
  <si>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</si>
  <si>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</si>
  <si>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</si>
  <si>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</si>
  <si>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</si>
  <si>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</si>
  <si>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</si>
  <si>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</si>
  <si>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</si>
  <si>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</si>
  <si>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</si>
  <si>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</si>
  <si>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</si>
  <si>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</si>
  <si>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</si>
  <si>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</si>
  <si>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</si>
  <si>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</si>
  <si>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</si>
  <si>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</si>
  <si>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</si>
  <si>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</si>
  <si>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</si>
  <si>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</si>
  <si>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</si>
  <si>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</si>
  <si>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</si>
  <si>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</si>
  <si>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</si>
  <si>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</si>
  <si>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</si>
  <si>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</si>
  <si>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</si>
  <si>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</si>
  <si>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</si>
  <si>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</si>
  <si>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</si>
  <si>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</si>
  <si>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</si>
  <si>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</si>
  <si>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</si>
  <si>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</si>
  <si>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</si>
  <si>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</si>
  <si>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</si>
  <si>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</si>
  <si>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</si>
  <si>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</si>
  <si>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</si>
  <si>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</si>
  <si>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</si>
  <si>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</si>
  <si>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</si>
  <si>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</si>
  <si>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</si>
  <si>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</si>
  <si>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</si>
  <si>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</si>
  <si>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</si>
  <si>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</si>
  <si>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</si>
  <si>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</si>
  <si>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</si>
  <si>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</si>
  <si>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</si>
  <si>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</si>
  <si>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</si>
  <si>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</si>
  <si>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</si>
  <si>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</si>
  <si>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</si>
  <si>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</si>
  <si>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</si>
  <si>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</si>
  <si>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</si>
  <si>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</si>
  <si>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</si>
  <si>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</si>
  <si>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</si>
  <si>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</si>
  <si>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</si>
  <si>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</si>
  <si>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</si>
  <si>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</si>
  <si>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</si>
  <si>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</si>
  <si>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</si>
  <si>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</si>
  <si>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</si>
  <si>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</si>
  <si>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</si>
  <si>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</si>
  <si>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</si>
  <si>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</si>
  <si>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</si>
  <si>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</si>
  <si>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</si>
  <si>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</si>
  <si>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</si>
  <si>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</si>
  <si>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</si>
  <si>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</si>
  <si>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</si>
  <si>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</si>
  <si>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</si>
  <si>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</si>
  <si>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</si>
  <si>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</si>
  <si>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</si>
  <si>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</si>
  <si>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</si>
  <si>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</si>
  <si>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</si>
  <si>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</si>
  <si>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</si>
  <si>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</si>
  <si>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</si>
  <si>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</si>
  <si>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</si>
  <si>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</si>
  <si>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</si>
  <si>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</si>
  <si>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</si>
  <si>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</si>
  <si>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</si>
  <si>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</si>
  <si>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</si>
  <si>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</si>
  <si>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</si>
  <si>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</si>
  <si>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</si>
  <si>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</si>
  <si>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</si>
  <si>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</si>
  <si>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</si>
  <si>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</si>
  <si>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</si>
  <si>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</si>
  <si>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</si>
  <si>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</si>
  <si>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</si>
  <si>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</si>
  <si>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</si>
  <si>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</si>
  <si>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</si>
  <si>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</si>
  <si>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</si>
  <si>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</si>
  <si>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</si>
  <si>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</si>
  <si>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</si>
  <si>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</si>
  <si>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</si>
  <si>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</si>
  <si>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</si>
  <si>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</si>
  <si>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</si>
  <si>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</si>
  <si>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</si>
  <si>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</si>
  <si>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</si>
  <si>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</si>
  <si>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</si>
  <si>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</si>
  <si>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</si>
  <si>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</si>
  <si>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</si>
  <si>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</si>
  <si>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</si>
  <si>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</si>
  <si>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</si>
  <si>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</si>
  <si>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</si>
  <si>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</si>
  <si>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</si>
  <si>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</si>
  <si>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</si>
  <si>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</si>
  <si>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</si>
  <si>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</si>
  <si>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</si>
  <si>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</si>
  <si>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</si>
  <si>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</si>
  <si>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</si>
  <si>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</si>
  <si>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</si>
  <si>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</si>
  <si>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</si>
  <si>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</si>
  <si>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</si>
  <si>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</si>
  <si>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</si>
  <si>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</si>
  <si>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</si>
  <si>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</si>
  <si>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</si>
  <si>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</si>
  <si>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</si>
  <si>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</si>
  <si>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</si>
  <si>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</si>
  <si>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</si>
  <si>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</si>
  <si>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</si>
  <si>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</si>
  <si>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</si>
  <si>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</si>
  <si>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</si>
  <si>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</si>
  <si>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</si>
  <si>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</si>
  <si>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</si>
  <si>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</si>
  <si>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</si>
  <si>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</si>
  <si>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</si>
  <si>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</si>
  <si>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</si>
  <si>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</si>
  <si>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</si>
  <si>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</si>
  <si>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</si>
  <si>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</si>
  <si>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</si>
  <si>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</si>
  <si>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</si>
  <si>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</si>
  <si>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</si>
  <si>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</si>
  <si>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</si>
  <si>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</si>
  <si>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</si>
  <si>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</si>
  <si>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</si>
  <si>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</si>
  <si>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</si>
  <si>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</si>
  <si>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</si>
  <si>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</si>
  <si>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</si>
  <si>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</si>
  <si>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</si>
  <si>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</si>
  <si>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</si>
  <si>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</si>
  <si>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</si>
  <si>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</si>
  <si>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</si>
  <si>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</si>
  <si>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</si>
  <si>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</si>
  <si>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</si>
  <si>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</si>
  <si>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</si>
  <si>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</si>
  <si>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</si>
  <si>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</si>
  <si>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</si>
  <si>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</si>
  <si>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</si>
  <si>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</si>
  <si>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</si>
  <si>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</si>
  <si>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</si>
  <si>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</si>
  <si>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</si>
  <si>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</si>
  <si>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</si>
  <si>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</si>
  <si>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</si>
  <si>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</si>
  <si>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</si>
  <si>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</si>
  <si>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</si>
  <si>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</si>
  <si>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</si>
  <si>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</si>
  <si>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</si>
  <si>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</si>
  <si>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</si>
  <si>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</si>
  <si>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</si>
  <si>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</si>
  <si>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</si>
  <si>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</si>
  <si>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</si>
  <si>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</si>
  <si>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</si>
  <si>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</si>
  <si>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</si>
  <si>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</si>
  <si>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</si>
  <si>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</si>
  <si>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</si>
  <si>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</si>
  <si>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</si>
  <si>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</si>
  <si>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</si>
  <si>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</si>
  <si>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</si>
  <si>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</si>
  <si>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</si>
  <si>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</si>
  <si>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</si>
  <si>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</si>
  <si>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</si>
  <si>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</si>
  <si>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</si>
  <si>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</si>
  <si>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</si>
  <si>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</si>
  <si>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</si>
  <si>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</si>
  <si>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</si>
  <si>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</si>
  <si>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</si>
  <si>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</si>
  <si>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</si>
  <si>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</si>
  <si>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</si>
  <si>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</si>
  <si>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</si>
  <si>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</si>
  <si>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</si>
  <si>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</si>
  <si>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</si>
  <si>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</si>
  <si>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</si>
  <si>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</si>
  <si>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</si>
  <si>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</si>
  <si>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</si>
  <si>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</si>
  <si>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</si>
  <si>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</si>
  <si>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</si>
  <si>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</si>
  <si>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</si>
  <si>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</si>
  <si>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</si>
  <si>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</si>
  <si>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</si>
  <si>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</si>
  <si>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</si>
  <si>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</si>
  <si>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</si>
  <si>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</si>
  <si>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</si>
  <si>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</si>
  <si>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</si>
  <si>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</si>
  <si>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</si>
  <si>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</si>
  <si>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</si>
  <si>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</si>
  <si>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</si>
  <si>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</si>
  <si>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</si>
  <si>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</si>
  <si>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</si>
  <si>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</si>
  <si>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</si>
  <si>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</si>
  <si>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</si>
  <si>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</si>
  <si>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</si>
  <si>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</si>
  <si>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</si>
  <si>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</si>
  <si>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</si>
  <si>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</si>
  <si>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</si>
  <si>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</si>
  <si>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</si>
  <si>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</si>
  <si>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</si>
  <si>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</si>
  <si>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</si>
  <si>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</si>
  <si>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</si>
  <si>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</si>
  <si>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</si>
  <si>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</si>
  <si>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</si>
  <si>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</si>
  <si>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</si>
  <si>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</si>
  <si>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</si>
  <si>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</si>
  <si>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</si>
  <si>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</si>
  <si>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</si>
  <si>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</si>
  <si>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</si>
  <si>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</si>
  <si>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</si>
  <si>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</si>
  <si>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</si>
  <si>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</si>
  <si>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</si>
  <si>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</si>
  <si>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</si>
  <si>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</si>
  <si>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</si>
  <si>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</si>
  <si>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</si>
  <si>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</si>
  <si>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</si>
  <si>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</si>
  <si>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</si>
  <si>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</si>
  <si>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</si>
  <si>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</si>
  <si>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</si>
  <si>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</si>
  <si>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</si>
  <si>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</si>
  <si>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</si>
  <si>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</si>
  <si>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</si>
  <si>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</si>
  <si>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</si>
  <si>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</si>
  <si>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</si>
  <si>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</si>
  <si>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</si>
  <si>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</si>
  <si>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</si>
  <si>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</si>
  <si>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</si>
  <si>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</si>
  <si>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</si>
  <si>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</si>
  <si>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</si>
  <si>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</si>
  <si>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</si>
  <si>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</si>
  <si>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</si>
  <si>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</si>
  <si>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</si>
  <si>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</si>
  <si>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</si>
  <si>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</si>
  <si>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</si>
  <si>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</si>
  <si>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</si>
  <si>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</si>
  <si>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</si>
  <si>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</si>
  <si>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</si>
  <si>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</si>
  <si>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</si>
  <si>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</si>
  <si>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</si>
  <si>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</si>
  <si>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</si>
  <si>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</si>
  <si>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</si>
  <si>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</si>
  <si>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</si>
  <si>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</si>
  <si>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</si>
  <si>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</si>
  <si>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</si>
  <si>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</si>
  <si>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</si>
  <si>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</si>
  <si>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</si>
  <si>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</si>
  <si>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</si>
  <si>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</si>
  <si>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</si>
  <si>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</si>
  <si>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</si>
  <si>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</si>
  <si>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</si>
  <si>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</si>
  <si>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</si>
  <si>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</si>
  <si>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</si>
  <si>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</si>
  <si>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</si>
  <si>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</si>
  <si>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</si>
  <si>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</si>
  <si>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</si>
  <si>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</si>
  <si>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</si>
  <si>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</si>
  <si>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</si>
  <si>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</si>
  <si>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</si>
  <si>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</si>
  <si>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</si>
  <si>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</si>
  <si>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</si>
  <si>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</si>
  <si>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</si>
  <si>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</si>
  <si>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</si>
  <si>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</si>
  <si>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</si>
  <si>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</si>
  <si>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</si>
  <si>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</si>
  <si>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</si>
  <si>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</si>
  <si>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</si>
  <si>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</si>
  <si>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</si>
  <si>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</si>
  <si>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</si>
  <si>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</si>
  <si>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</si>
  <si>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</si>
  <si>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</si>
  <si>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</si>
  <si>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</si>
  <si>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</si>
  <si>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</si>
  <si>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</si>
  <si>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</si>
  <si>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</si>
  <si>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</si>
  <si>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</si>
  <si>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</si>
  <si>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</si>
  <si>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</si>
  <si>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</si>
  <si>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</si>
  <si>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</si>
  <si>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</si>
  <si>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</si>
  <si>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</si>
  <si>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</si>
  <si>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</si>
  <si>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</si>
  <si>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</si>
  <si>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</si>
  <si>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</si>
  <si>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</si>
  <si>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</si>
  <si>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</si>
  <si>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</si>
  <si>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</si>
  <si>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</si>
  <si>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</si>
  <si>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</si>
  <si>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</si>
  <si>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</si>
  <si>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</si>
  <si>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</si>
  <si>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</si>
  <si>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</si>
  <si>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</si>
  <si>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</si>
  <si>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</si>
  <si>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</si>
  <si>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</si>
  <si>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</si>
  <si>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</si>
  <si>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</si>
  <si>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</si>
  <si>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</si>
  <si>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</si>
  <si>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</si>
  <si>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</si>
  <si>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</si>
  <si>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</si>
  <si>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</si>
  <si>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</si>
  <si>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</si>
  <si>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</si>
  <si>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</si>
  <si>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</si>
  <si>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</si>
  <si>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</si>
  <si>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</si>
  <si>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</si>
  <si>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</si>
  <si>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</si>
  <si>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</si>
  <si>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</si>
  <si>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</si>
  <si>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</si>
  <si>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</si>
  <si>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</si>
  <si>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</si>
  <si>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</si>
  <si>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</si>
  <si>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</si>
  <si>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</si>
  <si>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</si>
  <si>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</si>
  <si>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</si>
  <si>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</si>
  <si>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</si>
  <si>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</si>
  <si>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</si>
  <si>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</si>
  <si>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</si>
  <si>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</si>
  <si>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</si>
  <si>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</si>
  <si>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</si>
  <si>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</si>
  <si>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</si>
  <si>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</si>
  <si>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</si>
  <si>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</si>
  <si>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</si>
  <si>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</si>
  <si>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</si>
  <si>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</si>
  <si>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</si>
  <si>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</si>
  <si>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</si>
  <si>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</si>
  <si>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</si>
  <si>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</si>
  <si>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</si>
  <si>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</si>
  <si>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</si>
  <si>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</si>
  <si>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</si>
  <si>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</si>
  <si>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</si>
  <si>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</si>
  <si>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</si>
  <si>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</si>
  <si>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</si>
  <si>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</si>
  <si>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</si>
  <si>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</si>
  <si>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</si>
  <si>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</si>
  <si>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</si>
  <si>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</si>
  <si>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</si>
  <si>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</si>
  <si>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</si>
  <si>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</si>
  <si>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</si>
  <si>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</si>
  <si>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</si>
  <si>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</si>
  <si>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</si>
  <si>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</si>
  <si>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</si>
  <si>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</si>
  <si>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</si>
  <si>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</si>
  <si>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</si>
  <si>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</si>
  <si>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</si>
  <si>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</si>
  <si>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</si>
  <si>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</si>
  <si>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</si>
  <si>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</si>
  <si>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</si>
  <si>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</si>
  <si>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</si>
  <si>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</si>
  <si>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</si>
  <si>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</si>
  <si>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</si>
  <si>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</si>
  <si>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</si>
  <si>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</si>
  <si>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</si>
  <si>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</si>
  <si>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</si>
  <si>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</si>
  <si>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</si>
  <si>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</si>
  <si>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</si>
  <si>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</si>
  <si>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</si>
  <si>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</si>
  <si>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</si>
  <si>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</si>
  <si>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</si>
  <si>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</si>
  <si>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</si>
  <si>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</si>
  <si>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</si>
  <si>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</si>
  <si>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</si>
  <si>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</si>
  <si>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</si>
  <si>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</si>
  <si>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</si>
  <si>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</si>
  <si>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</si>
  <si>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</si>
  <si>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</si>
  <si>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</si>
  <si>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</si>
  <si>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</si>
  <si>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</si>
  <si>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</si>
  <si>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</si>
  <si>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</si>
  <si>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</si>
  <si>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</si>
  <si>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</si>
  <si>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</si>
  <si>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</si>
  <si>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</si>
  <si>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</si>
  <si>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</si>
  <si>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</si>
  <si>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</si>
  <si>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</si>
  <si>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</si>
  <si>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</si>
  <si>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</si>
  <si>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</si>
  <si>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</si>
  <si>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</si>
  <si>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</si>
  <si>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</si>
  <si>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</si>
  <si>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</si>
  <si>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</si>
  <si>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</si>
  <si>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</si>
  <si>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</si>
  <si>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</si>
  <si>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</si>
  <si>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</si>
  <si>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</si>
  <si>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</si>
  <si>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</si>
  <si>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</si>
  <si>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</si>
  <si>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</si>
  <si>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</si>
  <si>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</si>
  <si>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</si>
  <si>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</si>
  <si>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</si>
  <si>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</si>
  <si>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</si>
  <si>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</si>
  <si>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</si>
  <si>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</si>
  <si>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</si>
  <si>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</si>
  <si>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</si>
  <si>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</si>
  <si>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</si>
  <si>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</si>
  <si>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</si>
  <si>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</si>
  <si>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</si>
  <si>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</si>
  <si>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</si>
  <si>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</si>
  <si>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</si>
  <si>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</si>
  <si>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</si>
  <si>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</si>
  <si>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</si>
  <si>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</si>
  <si>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</si>
  <si>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</si>
  <si>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</si>
  <si>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</si>
  <si>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</si>
  <si>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</si>
  <si>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</si>
  <si>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</si>
  <si>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</si>
  <si>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</si>
  <si>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</si>
  <si>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</si>
  <si>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</si>
  <si>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</si>
  <si>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</si>
  <si>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</si>
  <si>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</si>
  <si>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</si>
  <si>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</si>
  <si>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</si>
  <si>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</si>
  <si>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</si>
  <si>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</si>
  <si>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</si>
  <si>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</si>
  <si>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</si>
  <si>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</si>
  <si>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</si>
  <si>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</si>
  <si>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</si>
  <si>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</si>
  <si>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</si>
  <si>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</si>
  <si>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</si>
  <si>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</si>
  <si>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</si>
  <si>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</si>
  <si>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</si>
  <si>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</si>
  <si>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</si>
  <si>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</si>
  <si>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</si>
  <si>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</si>
  <si>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</si>
  <si>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</si>
  <si>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</si>
  <si>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</si>
  <si>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</si>
  <si>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</si>
  <si>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</si>
  <si>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</si>
  <si>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</si>
  <si>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</si>
  <si>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</si>
  <si>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</si>
  <si>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</si>
  <si>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</si>
  <si>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</si>
  <si>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</si>
  <si>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</si>
  <si>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</si>
  <si>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</si>
  <si>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</si>
  <si>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</si>
  <si>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</si>
  <si>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</si>
  <si>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</si>
  <si>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</si>
  <si>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</si>
  <si>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</si>
  <si>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</si>
  <si>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</si>
  <si>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</si>
  <si>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</si>
  <si>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</si>
  <si>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</si>
  <si>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</si>
  <si>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</si>
  <si>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</si>
  <si>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</si>
  <si>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</si>
  <si>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</si>
  <si>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</si>
  <si>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</si>
  <si>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</si>
  <si>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</si>
  <si>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</si>
  <si>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</si>
  <si>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</si>
  <si>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</si>
  <si>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</si>
  <si>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</si>
  <si>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</si>
  <si>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</si>
  <si>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</si>
  <si>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</si>
  <si>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</si>
  <si>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</si>
  <si>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</si>
  <si>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</si>
  <si>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</si>
  <si>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</si>
  <si>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</si>
  <si>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</si>
  <si>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</si>
  <si>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</si>
  <si>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</si>
  <si>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</si>
  <si>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</si>
  <si>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</si>
  <si>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</si>
  <si>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</si>
  <si>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</si>
  <si>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</si>
  <si>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</si>
  <si>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</si>
  <si>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</si>
  <si>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</si>
  <si>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</si>
  <si>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</si>
  <si>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</si>
  <si>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</si>
  <si>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</si>
  <si>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</si>
  <si>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</si>
  <si>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</si>
  <si>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</si>
  <si>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</si>
  <si>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</si>
  <si>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</si>
  <si>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</si>
  <si>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</si>
  <si>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</si>
  <si>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</si>
  <si>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</si>
  <si>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</si>
  <si>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</si>
  <si>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</si>
  <si>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</si>
  <si>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</si>
  <si>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</si>
  <si>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</si>
  <si>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</si>
  <si>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</si>
  <si>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</si>
  <si>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</si>
  <si>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</si>
  <si>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</si>
  <si>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</si>
  <si>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</si>
  <si>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</si>
  <si>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</si>
  <si>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</si>
  <si>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</si>
  <si>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</si>
  <si>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</si>
  <si>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</si>
  <si>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</si>
  <si>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</si>
  <si>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</si>
  <si>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</si>
  <si>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</si>
  <si>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</si>
  <si>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</si>
  <si>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</si>
  <si>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</si>
  <si>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</si>
  <si>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</si>
  <si>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</si>
  <si>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</si>
  <si>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</si>
  <si>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</si>
  <si>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</si>
  <si>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</si>
  <si>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</si>
  <si>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</si>
  <si>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</si>
  <si>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</si>
  <si>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</si>
  <si>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</si>
  <si>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</si>
  <si>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</si>
  <si>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</si>
  <si>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</si>
  <si>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</si>
  <si>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</si>
  <si>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</si>
  <si>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</si>
  <si>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</si>
  <si>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</si>
  <si>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</si>
  <si>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</si>
  <si>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</si>
  <si>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</si>
  <si>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</si>
  <si>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</si>
  <si>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</si>
  <si>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</si>
  <si>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</si>
  <si>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</si>
  <si>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</si>
  <si>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</si>
  <si>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</si>
  <si>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</si>
  <si>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</si>
  <si>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</si>
  <si>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</si>
  <si>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</si>
  <si>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</si>
  <si>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</si>
  <si>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</si>
  <si>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</si>
  <si>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</si>
  <si>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</si>
  <si>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</si>
  <si>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</si>
  <si>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</si>
  <si>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</si>
  <si>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</si>
  <si>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</si>
  <si>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</si>
  <si>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</si>
  <si>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</si>
  <si>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</si>
  <si>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</si>
  <si>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</si>
  <si>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</si>
  <si>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</si>
  <si>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</si>
  <si>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</si>
  <si>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</si>
  <si>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</si>
  <si>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</si>
  <si>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</si>
  <si>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</si>
  <si>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</si>
  <si>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</si>
  <si>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</si>
  <si>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</si>
  <si>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</si>
  <si>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</si>
  <si>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</si>
  <si>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</si>
  <si>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</si>
  <si>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</si>
  <si>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</si>
  <si>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</si>
  <si>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</si>
  <si>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</si>
  <si>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</si>
  <si>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</si>
  <si>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</si>
  <si>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</si>
  <si>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</si>
  <si>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</si>
  <si>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</si>
  <si>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</si>
  <si>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</si>
  <si>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</si>
  <si>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</si>
  <si>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</si>
  <si>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</si>
  <si>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</si>
  <si>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</si>
  <si>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</si>
  <si>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</si>
  <si>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</si>
  <si>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</si>
  <si>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</si>
  <si>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</si>
  <si>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</si>
  <si>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</si>
  <si>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</si>
  <si>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</si>
  <si>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</si>
  <si>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</si>
  <si>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</si>
  <si>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</si>
  <si>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</si>
  <si>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</si>
  <si>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</si>
  <si>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</si>
  <si>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</si>
  <si>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</si>
  <si>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</si>
  <si>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</si>
  <si>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</si>
  <si>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</si>
  <si>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</si>
  <si>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</si>
  <si>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</si>
  <si>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</si>
  <si>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</si>
  <si>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</si>
  <si>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</si>
  <si>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</si>
  <si>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</si>
  <si>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</si>
  <si>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</si>
  <si>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</si>
  <si>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</si>
  <si>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</si>
  <si>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</si>
  <si>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</si>
  <si>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</si>
  <si>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</si>
  <si>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</si>
  <si>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</si>
  <si>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</si>
  <si>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</si>
  <si>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</si>
  <si>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</si>
  <si>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</si>
  <si>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</si>
  <si>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</si>
  <si>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</si>
  <si>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</si>
  <si>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</si>
  <si>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</si>
  <si>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</si>
  <si>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</si>
  <si>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</si>
  <si>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</si>
  <si>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</si>
  <si>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</si>
  <si>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</si>
  <si>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</si>
  <si>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</si>
  <si>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</si>
  <si>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</si>
  <si>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</si>
  <si>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</si>
  <si>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</si>
  <si>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</si>
  <si>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</si>
  <si>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</si>
  <si>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</si>
  <si>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</si>
  <si>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</si>
  <si>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</si>
  <si>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</si>
  <si>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</si>
  <si>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</si>
  <si>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</si>
  <si>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</si>
  <si>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</si>
  <si>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</si>
  <si>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</si>
  <si>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</si>
  <si>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</si>
  <si>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</si>
  <si>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</si>
  <si>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</si>
  <si>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</si>
  <si>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</si>
  <si>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</si>
  <si>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</si>
  <si>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</si>
  <si>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</si>
  <si>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</si>
  <si>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</si>
  <si>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</si>
  <si>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</si>
  <si>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</si>
  <si>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</si>
  <si>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</si>
  <si>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</si>
  <si>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</si>
  <si>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</si>
  <si>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</si>
  <si>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</si>
  <si>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</si>
  <si>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</si>
  <si>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</si>
  <si>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</si>
  <si>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</si>
  <si>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</si>
  <si>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</si>
  <si>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</si>
  <si>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</si>
  <si>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</si>
  <si>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</si>
  <si>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</si>
  <si>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</si>
  <si>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</si>
  <si>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</si>
  <si>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</si>
  <si>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</si>
  <si>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</si>
  <si>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</si>
  <si>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</si>
  <si>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</si>
  <si>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</si>
  <si>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</si>
  <si>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</si>
  <si>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</si>
  <si>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</si>
  <si>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</si>
  <si>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</si>
  <si>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</si>
  <si>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</si>
  <si>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</si>
  <si>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</si>
  <si>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</si>
  <si>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</si>
  <si>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</si>
  <si>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</si>
  <si>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</si>
  <si>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</si>
  <si>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</si>
  <si>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</si>
  <si>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</si>
  <si>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</si>
  <si>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</si>
  <si>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</si>
  <si>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</si>
  <si>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</si>
  <si>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</si>
  <si>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</si>
  <si>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</si>
  <si>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</si>
  <si>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</si>
  <si>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</si>
  <si>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</si>
  <si>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</si>
  <si>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</si>
  <si>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</si>
  <si>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</si>
  <si>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</si>
  <si>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</si>
  <si>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</si>
  <si>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</si>
  <si>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</si>
  <si>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</si>
  <si>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</si>
  <si>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</si>
  <si>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</si>
  <si>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</si>
  <si>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</si>
  <si>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</si>
  <si>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</si>
  <si>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</si>
  <si>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</si>
  <si>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</si>
  <si>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</si>
  <si>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</si>
  <si>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</si>
  <si>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</si>
  <si>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</si>
  <si>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</si>
  <si>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</si>
  <si>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</si>
  <si>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</si>
  <si>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</si>
  <si>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</si>
  <si>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</si>
  <si>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</si>
  <si>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</si>
  <si>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</si>
  <si>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</si>
  <si>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</si>
  <si>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</si>
  <si>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</si>
  <si>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</si>
  <si>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</si>
  <si>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</si>
  <si>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</si>
  <si>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</si>
  <si>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</si>
  <si>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</si>
  <si>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</si>
  <si>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</si>
  <si>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</si>
  <si>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</si>
  <si>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</si>
  <si>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</si>
  <si>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</si>
  <si>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</si>
  <si>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</si>
  <si>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</si>
  <si>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</si>
  <si>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</si>
  <si>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</si>
  <si>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</si>
  <si>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</si>
  <si>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</si>
  <si>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</si>
  <si>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</si>
  <si>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</si>
  <si>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</si>
  <si>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</si>
  <si>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</si>
  <si>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</si>
  <si>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</si>
  <si>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</si>
  <si>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</si>
  <si>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</si>
  <si>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</si>
  <si>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</si>
  <si>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</si>
  <si>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</si>
  <si>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</si>
  <si>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</si>
  <si>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</si>
  <si>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</si>
  <si>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</si>
  <si>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</si>
  <si>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</si>
  <si>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</si>
  <si>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</si>
  <si>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</si>
  <si>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</si>
  <si>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</si>
  <si>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</si>
  <si>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</si>
  <si>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</si>
  <si>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</si>
  <si>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</si>
  <si>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</si>
  <si>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</si>
  <si>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</si>
  <si>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</si>
  <si>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</si>
  <si>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</si>
  <si>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</si>
  <si>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</si>
  <si>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</si>
  <si>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</si>
  <si>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</si>
  <si>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</si>
  <si>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</si>
  <si>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</si>
  <si>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</si>
  <si>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</si>
  <si>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</si>
  <si>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</si>
  <si>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</si>
  <si>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</si>
  <si>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</si>
  <si>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</si>
  <si>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</si>
  <si>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</si>
  <si>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</si>
  <si>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</si>
  <si>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</si>
  <si>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</si>
  <si>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</si>
  <si>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</si>
  <si>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</si>
  <si>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</si>
  <si>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</si>
  <si>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</si>
  <si>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</si>
  <si>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</si>
  <si>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</si>
  <si>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</si>
  <si>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</si>
  <si>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</si>
  <si>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</si>
  <si>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</si>
  <si>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</si>
  <si>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</si>
  <si>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</si>
  <si>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</si>
  <si>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</si>
  <si>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</si>
  <si>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</si>
  <si>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</si>
  <si>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</si>
  <si>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</si>
  <si>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</si>
  <si>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</si>
  <si>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</si>
  <si>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</si>
  <si>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</si>
  <si>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</si>
  <si>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</si>
  <si>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</si>
  <si>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</si>
  <si>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</si>
  <si>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</si>
  <si>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</si>
  <si>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</si>
  <si>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</si>
  <si>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</si>
  <si>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</si>
  <si>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</si>
  <si>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</si>
  <si>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</si>
  <si>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</si>
  <si>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</si>
  <si>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</si>
  <si>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</si>
  <si>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</si>
  <si>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</si>
  <si>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</si>
  <si>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</si>
  <si>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</si>
  <si>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</si>
  <si>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</si>
  <si>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</si>
  <si>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</si>
  <si>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</si>
  <si>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</si>
  <si>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</si>
  <si>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</si>
  <si>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</si>
  <si>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</si>
  <si>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</si>
  <si>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</si>
  <si>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</si>
  <si>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</si>
  <si>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</si>
  <si>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</si>
  <si>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</si>
  <si>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</si>
  <si>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</si>
  <si>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</si>
  <si>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</si>
  <si>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</si>
  <si>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</si>
  <si>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</si>
  <si>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</si>
  <si>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</si>
  <si>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</si>
  <si>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</si>
  <si>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</si>
  <si>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</si>
  <si>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</si>
  <si>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</si>
  <si>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</si>
  <si>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</si>
  <si>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</si>
  <si>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</si>
  <si>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</si>
  <si>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</si>
  <si>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</si>
  <si>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</si>
  <si>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</si>
  <si>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</si>
  <si>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</si>
  <si>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</si>
  <si>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</si>
  <si>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</si>
  <si>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</si>
  <si>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</si>
  <si>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</si>
  <si>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</si>
  <si>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</si>
  <si>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</si>
  <si>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</si>
  <si>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</si>
  <si>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</si>
  <si>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</si>
  <si>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</si>
  <si>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</si>
  <si>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</si>
  <si>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</si>
  <si>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</si>
  <si>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</si>
  <si>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</si>
  <si>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</si>
  <si>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</si>
  <si>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</si>
  <si>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</si>
  <si>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</si>
  <si>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</si>
  <si>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</si>
  <si>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</si>
  <si>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</si>
  <si>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</si>
  <si>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</si>
  <si>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</si>
  <si>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</si>
  <si>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</si>
  <si>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</si>
  <si>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</si>
  <si>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</si>
  <si>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</si>
  <si>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</si>
  <si>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</si>
  <si>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</si>
  <si>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</si>
  <si>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</si>
  <si>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</si>
  <si>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</si>
  <si>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</si>
  <si>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</si>
  <si>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</si>
  <si>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</si>
  <si>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</si>
  <si>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</si>
  <si>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</si>
  <si>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</si>
  <si>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</si>
  <si>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</si>
  <si>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</si>
  <si>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</si>
  <si>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</si>
  <si>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</si>
  <si>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</si>
  <si>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</si>
  <si>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</si>
  <si>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</si>
  <si>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</si>
  <si>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</si>
  <si>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</si>
  <si>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</si>
  <si>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</si>
  <si>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</si>
  <si>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</si>
  <si>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</si>
  <si>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</si>
  <si>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</si>
  <si>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</si>
  <si>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</si>
  <si>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</si>
  <si>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</si>
  <si>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</si>
  <si>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</si>
  <si>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</si>
  <si>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</si>
  <si>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</si>
  <si>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</si>
  <si>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</si>
  <si>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</si>
  <si>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</si>
  <si>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</si>
  <si>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</si>
  <si>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</si>
  <si>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</si>
  <si>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</si>
  <si>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</si>
  <si>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</si>
  <si>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</si>
  <si>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</si>
  <si>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</si>
  <si>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</si>
  <si>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</si>
  <si>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</si>
  <si>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</si>
  <si>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</si>
  <si>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</si>
  <si>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</si>
  <si>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</si>
  <si>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</si>
  <si>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</si>
  <si>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</si>
  <si>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</si>
  <si>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</si>
  <si>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</si>
  <si>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</si>
  <si>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</si>
  <si>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</si>
  <si>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</si>
  <si>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</si>
  <si>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</si>
  <si>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</si>
  <si>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</si>
  <si>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</si>
  <si>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</si>
  <si>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</si>
  <si>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</si>
  <si>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</si>
  <si>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</si>
  <si>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</si>
  <si>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</si>
  <si>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</si>
  <si>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</si>
  <si>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</si>
  <si>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</si>
  <si>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</si>
  <si>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</si>
  <si>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</si>
  <si>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</si>
  <si>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</si>
  <si>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</si>
  <si>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</si>
  <si>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</si>
  <si>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</si>
  <si>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</si>
  <si>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</si>
  <si>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</si>
  <si>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</si>
  <si>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</si>
  <si>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</si>
  <si>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</si>
  <si>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</si>
  <si>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</si>
  <si>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</si>
  <si>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</si>
  <si>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</si>
  <si>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</si>
  <si>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</si>
  <si>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</si>
  <si>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</si>
  <si>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</si>
  <si>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</si>
  <si>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</si>
  <si>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</si>
  <si>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</si>
  <si>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</si>
  <si>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</si>
  <si>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</si>
  <si>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</si>
  <si>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</si>
  <si>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</si>
  <si>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</si>
  <si>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</si>
  <si>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</si>
  <si>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</si>
  <si>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</si>
  <si>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</si>
  <si>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</si>
  <si>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</si>
  <si>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</si>
  <si>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</si>
  <si>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</si>
  <si>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</si>
  <si>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</si>
  <si>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</si>
  <si>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</si>
  <si>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</si>
  <si>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</si>
  <si>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</si>
  <si>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</si>
  <si>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</si>
  <si>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</si>
  <si>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</si>
  <si>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</si>
  <si>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</si>
  <si>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</si>
  <si>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</si>
  <si>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</si>
  <si>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</si>
  <si>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</si>
  <si>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</si>
  <si>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</si>
  <si>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</si>
  <si>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</si>
  <si>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</si>
  <si>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</si>
  <si>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</si>
  <si>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</si>
  <si>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</si>
  <si>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</si>
  <si>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</si>
  <si>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</si>
  <si>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</si>
  <si>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</si>
  <si>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</si>
  <si>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</si>
  <si>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</si>
  <si>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</si>
  <si>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</si>
  <si>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</si>
  <si>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</si>
  <si>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</si>
  <si>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</si>
  <si>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</si>
  <si>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</si>
  <si>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</si>
  <si>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</si>
  <si>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</si>
  <si>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</si>
  <si>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</si>
  <si>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</si>
  <si>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</si>
  <si>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</si>
  <si>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</si>
  <si>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</si>
  <si>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</si>
  <si>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</si>
  <si>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</si>
  <si>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</si>
  <si>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</si>
  <si>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</si>
  <si>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</si>
  <si>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</si>
  <si>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</si>
  <si>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</si>
  <si>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</si>
  <si>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</si>
  <si>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</si>
  <si>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</si>
  <si>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</si>
  <si>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</si>
  <si>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</si>
  <si>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</si>
  <si>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</si>
  <si>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</si>
  <si>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</si>
  <si>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</si>
  <si>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</si>
  <si>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</si>
  <si>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</si>
  <si>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</si>
  <si>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</si>
  <si>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</si>
  <si>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</si>
  <si>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</si>
  <si>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</si>
  <si>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</si>
  <si>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</si>
  <si>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</si>
  <si>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</si>
  <si>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</si>
  <si>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</si>
  <si>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</si>
  <si>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</si>
  <si>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</si>
  <si>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</si>
  <si>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</si>
  <si>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</si>
  <si>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</si>
  <si>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</si>
  <si>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</si>
  <si>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</si>
  <si>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</si>
  <si>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</si>
  <si>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</si>
  <si>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</si>
  <si>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</si>
  <si>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</si>
  <si>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</si>
  <si>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</si>
  <si>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</si>
  <si>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</si>
  <si>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</si>
  <si>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</si>
  <si>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</si>
  <si>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</si>
  <si>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</si>
  <si>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</si>
  <si>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</si>
  <si>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</si>
  <si>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</si>
  <si>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</si>
  <si>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</si>
  <si>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</si>
  <si>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</si>
  <si>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</si>
  <si>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</si>
  <si>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</si>
  <si>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</si>
  <si>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</si>
  <si>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</si>
  <si>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</si>
  <si>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</si>
  <si>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</si>
  <si>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</si>
  <si>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</si>
  <si>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</si>
  <si>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</si>
  <si>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</si>
  <si>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</si>
  <si>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</si>
  <si>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</si>
  <si>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</si>
  <si>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</si>
  <si>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</si>
  <si>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</si>
  <si>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</si>
  <si>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</si>
  <si>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</si>
  <si>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</si>
  <si>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</si>
  <si>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</si>
  <si>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</si>
  <si>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</si>
  <si>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</si>
  <si>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</si>
  <si>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</si>
  <si>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</si>
  <si>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</si>
  <si>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</si>
  <si>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</si>
  <si>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</si>
  <si>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</si>
  <si>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</si>
  <si>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</si>
  <si>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</si>
  <si>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</si>
  <si>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</si>
  <si>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</si>
  <si>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</si>
  <si>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</si>
  <si>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</si>
  <si>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</si>
  <si>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</si>
  <si>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</si>
  <si>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</si>
  <si>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</si>
  <si>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</si>
  <si>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</si>
  <si>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</si>
  <si>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</si>
  <si>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</si>
  <si>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</si>
  <si>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</si>
  <si>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</si>
  <si>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</si>
  <si>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</si>
  <si>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</si>
  <si>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</si>
  <si>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</si>
  <si>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</si>
  <si>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</si>
  <si>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</si>
  <si>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</si>
  <si>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</si>
  <si>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</si>
  <si>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</si>
  <si>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</si>
  <si>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</si>
  <si>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</si>
  <si>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</si>
  <si>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</si>
  <si>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</si>
  <si>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</si>
  <si>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</si>
  <si>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</si>
  <si>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</si>
  <si>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</si>
  <si>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</si>
  <si>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</si>
  <si>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</si>
  <si>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</si>
  <si>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</si>
  <si>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</si>
  <si>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</si>
  <si>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</si>
  <si>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</si>
  <si>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</si>
  <si>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</si>
  <si>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</si>
  <si>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</si>
  <si>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</si>
  <si>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</si>
  <si>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</si>
  <si>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</si>
  <si>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</si>
  <si>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</si>
  <si>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</si>
  <si>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</si>
  <si>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</si>
  <si>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</si>
  <si>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</si>
  <si>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</si>
  <si>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</si>
  <si>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</si>
  <si>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</si>
  <si>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</si>
  <si>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</si>
  <si>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</si>
  <si>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</si>
  <si>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</si>
  <si>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</si>
  <si>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</si>
  <si>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</si>
  <si>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</si>
  <si>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</si>
  <si>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</si>
  <si>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</si>
  <si>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</si>
  <si>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</si>
  <si>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</si>
  <si>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</si>
  <si>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</si>
  <si>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</si>
  <si>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</si>
  <si>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</si>
  <si>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</si>
  <si>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</si>
  <si>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</si>
  <si>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</si>
  <si>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</si>
  <si>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</si>
  <si>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</si>
  <si>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</si>
  <si>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</si>
  <si>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</si>
  <si>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</si>
  <si>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</si>
  <si>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</si>
  <si>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</si>
  <si>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</si>
  <si>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</si>
  <si>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</si>
  <si>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</si>
  <si>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</si>
  <si>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</si>
  <si>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</si>
  <si>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</si>
  <si>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</si>
  <si>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</si>
  <si>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</si>
  <si>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</si>
  <si>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</si>
  <si>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</si>
  <si>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</si>
  <si>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</si>
  <si>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</si>
  <si>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</si>
  <si>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</si>
  <si>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</si>
  <si>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</si>
  <si>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</si>
  <si>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</si>
  <si>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</si>
  <si>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</si>
  <si>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</si>
  <si>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</si>
  <si>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</si>
  <si>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</si>
  <si>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</si>
  <si>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</si>
  <si>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</si>
  <si>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</si>
  <si>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</si>
  <si>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</si>
  <si>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</si>
  <si>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</si>
  <si>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</si>
  <si>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</si>
  <si>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</si>
  <si>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</si>
  <si>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</si>
  <si>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</si>
  <si>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</si>
  <si>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</si>
  <si>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</si>
  <si>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</si>
  <si>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</si>
  <si>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</si>
  <si>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</si>
  <si>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</si>
  <si>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</si>
  <si>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</si>
  <si>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</si>
  <si>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</si>
  <si>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</si>
  <si>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</si>
  <si>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</si>
  <si>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</si>
  <si>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</si>
  <si>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</si>
  <si>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</si>
  <si>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</si>
  <si>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</si>
  <si>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</si>
  <si>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</si>
  <si>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</si>
  <si>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</si>
  <si>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</si>
  <si>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</si>
  <si>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</si>
  <si>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</si>
  <si>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</si>
  <si>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</si>
  <si>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</si>
  <si>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</si>
  <si>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</si>
  <si>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</si>
  <si>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</si>
  <si>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</si>
  <si>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</si>
  <si>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</si>
  <si>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</si>
  <si>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</si>
  <si>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</si>
  <si>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</si>
  <si>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</si>
  <si>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</si>
  <si>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</si>
  <si>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</si>
  <si>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</si>
  <si>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</si>
  <si>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</si>
  <si>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</si>
  <si>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</si>
  <si>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</si>
  <si>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</si>
  <si>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</si>
  <si>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</si>
  <si>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</si>
  <si>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</si>
  <si>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</si>
  <si>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</si>
  <si>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</si>
  <si>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</si>
  <si>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</si>
  <si>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</si>
  <si>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</si>
  <si>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</si>
  <si>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</si>
  <si>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</si>
  <si>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</si>
  <si>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</si>
  <si>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</si>
  <si>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</si>
  <si>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</si>
  <si>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</si>
  <si>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</si>
  <si>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</si>
  <si>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</si>
  <si>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</si>
  <si>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</si>
  <si>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</si>
  <si>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</si>
  <si>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</si>
  <si>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</si>
  <si>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</si>
  <si>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</si>
  <si>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</si>
  <si>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</si>
  <si>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</si>
  <si>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</si>
  <si>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</si>
  <si>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</si>
  <si>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</si>
  <si>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</si>
  <si>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</si>
  <si>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</si>
  <si>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</si>
  <si>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</si>
  <si>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</si>
  <si>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</si>
  <si>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</si>
  <si>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</si>
  <si>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</si>
  <si>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</si>
  <si>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</si>
  <si>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</si>
  <si>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</si>
  <si>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</si>
  <si>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</si>
  <si>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</si>
  <si>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</si>
  <si>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</si>
  <si>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</si>
  <si>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</si>
  <si>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</si>
  <si>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</si>
  <si>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</si>
  <si>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</si>
  <si>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</si>
  <si>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</si>
  <si>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</si>
  <si>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</si>
  <si>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</si>
  <si>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</si>
  <si>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</si>
  <si>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</si>
  <si>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</si>
  <si>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</si>
  <si>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</si>
  <si>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</si>
  <si>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</si>
  <si>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</si>
  <si>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</si>
  <si>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</si>
  <si>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</si>
  <si>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</si>
  <si>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</si>
  <si>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</si>
  <si>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</si>
  <si>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</si>
  <si>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</si>
  <si>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</si>
  <si>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</si>
  <si>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</si>
  <si>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</si>
  <si>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</si>
  <si>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</si>
  <si>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</si>
  <si>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</si>
  <si>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</si>
  <si>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</si>
  <si>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</si>
  <si>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</si>
  <si>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</si>
  <si>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</si>
  <si>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</si>
  <si>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</si>
  <si>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</si>
  <si>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</si>
  <si>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</si>
  <si>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</si>
  <si>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</si>
  <si>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</si>
  <si>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</si>
  <si>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</si>
  <si>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</si>
  <si>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</si>
  <si>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</si>
  <si>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</si>
  <si>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</si>
  <si>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</si>
  <si>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</si>
  <si>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</si>
  <si>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</si>
  <si>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</si>
  <si>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</si>
  <si>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</si>
  <si>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</si>
  <si>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</si>
  <si>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</si>
  <si>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</si>
  <si>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</si>
  <si>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</si>
  <si>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</si>
  <si>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</si>
  <si>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</si>
  <si>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</si>
  <si>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</si>
  <si>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</si>
  <si>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</si>
  <si>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</si>
  <si>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</si>
  <si>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</si>
  <si>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</si>
  <si>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</si>
  <si>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</si>
  <si>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</si>
  <si>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</si>
  <si>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</si>
  <si>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</si>
  <si>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</si>
  <si>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</si>
  <si>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</si>
  <si>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</si>
  <si>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</si>
  <si>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</si>
  <si>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</si>
  <si>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</si>
  <si>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</si>
  <si>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</si>
  <si>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</si>
  <si>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</si>
  <si>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</si>
  <si>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</si>
  <si>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</si>
  <si>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</si>
  <si>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</si>
  <si>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</si>
  <si>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</si>
  <si>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</si>
  <si>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</si>
  <si>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</si>
  <si>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</si>
  <si>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</si>
  <si>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</si>
  <si>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</si>
  <si>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</si>
  <si>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</si>
  <si>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</si>
  <si>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</si>
  <si>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</si>
  <si>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</si>
  <si>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</si>
  <si>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</si>
  <si>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</si>
  <si>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</si>
  <si>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</si>
  <si>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</si>
  <si>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</si>
  <si>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</si>
  <si>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</si>
  <si>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</si>
  <si>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</si>
  <si>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</si>
  <si>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</si>
  <si>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</si>
  <si>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</si>
  <si>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</si>
  <si>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</si>
  <si>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</si>
  <si>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</si>
  <si>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</si>
  <si>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</si>
  <si>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</si>
  <si>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</si>
  <si>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</si>
  <si>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</si>
  <si>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</si>
  <si>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</si>
  <si>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</si>
  <si>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</si>
  <si>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</si>
  <si>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</si>
  <si>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</si>
  <si>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</si>
  <si>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</si>
  <si>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</si>
  <si>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</si>
  <si>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</si>
  <si>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</si>
  <si>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</si>
  <si>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</si>
  <si>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</si>
  <si>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</si>
  <si>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</si>
  <si>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</si>
  <si>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</si>
  <si>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</si>
  <si>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</si>
  <si>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</si>
  <si>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</si>
  <si>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</si>
  <si>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</si>
  <si>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</si>
  <si>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</si>
  <si>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</si>
  <si>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</si>
  <si>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</si>
  <si>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</si>
  <si>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</si>
  <si>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</si>
  <si>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</si>
  <si>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</si>
  <si>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</si>
  <si>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</si>
  <si>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</si>
  <si>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</si>
  <si>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</si>
  <si>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</si>
  <si>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</si>
  <si>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</si>
  <si>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</si>
  <si>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</si>
  <si>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</si>
  <si>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</si>
  <si>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</si>
  <si>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</si>
  <si>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</si>
  <si>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</si>
  <si>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</si>
  <si>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</si>
  <si>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</si>
  <si>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</si>
  <si>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</si>
  <si>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</si>
  <si>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</si>
  <si>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</si>
  <si>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</si>
  <si>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</si>
  <si>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</si>
  <si>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</si>
  <si>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</si>
  <si>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</si>
  <si>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</si>
  <si>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</si>
  <si>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</si>
  <si>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</si>
  <si>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</si>
  <si>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</si>
  <si>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</si>
  <si>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</si>
  <si>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</si>
  <si>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</si>
  <si>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</si>
  <si>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</si>
  <si>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</si>
  <si>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</si>
  <si>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</si>
  <si>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</si>
  <si>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</si>
  <si>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</si>
  <si>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</si>
  <si>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</si>
  <si>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</si>
  <si>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</si>
  <si>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</si>
  <si>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</si>
  <si>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</si>
  <si>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</si>
  <si>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</si>
  <si>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</si>
  <si>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</si>
  <si>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</si>
  <si>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</si>
  <si>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</si>
  <si>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</si>
  <si>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</si>
  <si>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</si>
  <si>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</si>
  <si>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</si>
  <si>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</si>
  <si>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</si>
  <si>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</si>
  <si>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</si>
  <si>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</si>
  <si>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</si>
  <si>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</si>
  <si>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</si>
  <si>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</si>
  <si>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</si>
  <si>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</si>
  <si>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</si>
  <si>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</si>
  <si>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</si>
  <si>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</si>
  <si>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</si>
  <si>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</si>
  <si>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</si>
  <si>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</si>
  <si>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</si>
  <si>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</si>
  <si>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</si>
  <si>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</si>
  <si>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</si>
  <si>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</si>
  <si>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</si>
  <si>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</si>
  <si>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</si>
  <si>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</si>
  <si>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</si>
  <si>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</si>
  <si>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</si>
  <si>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</si>
  <si>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</si>
  <si>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</si>
  <si>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</si>
  <si>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</si>
  <si>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</si>
  <si>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</si>
  <si>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</si>
  <si>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</si>
  <si>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</si>
  <si>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</si>
  <si>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</si>
  <si>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</si>
  <si>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</si>
  <si>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</si>
  <si>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</si>
  <si>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</si>
  <si>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</si>
  <si>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</si>
  <si>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</si>
  <si>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</si>
  <si>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</si>
  <si>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</si>
  <si>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</si>
  <si>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</si>
  <si>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</si>
  <si>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</si>
  <si>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</si>
  <si>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</si>
  <si>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</si>
  <si>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</si>
  <si>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</si>
  <si>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</si>
  <si>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</si>
  <si>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</si>
  <si>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</si>
  <si>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</si>
  <si>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</si>
  <si>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</si>
  <si>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</si>
  <si>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</si>
  <si>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</si>
  <si>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</si>
  <si>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</si>
  <si>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</si>
  <si>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</si>
  <si>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</si>
  <si>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</si>
  <si>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</si>
  <si>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</si>
  <si>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</si>
  <si>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</si>
  <si>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</si>
  <si>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</si>
  <si>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</si>
  <si>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</si>
  <si>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</si>
  <si>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</si>
  <si>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</si>
  <si>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</si>
  <si>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</si>
  <si>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</si>
  <si>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</si>
  <si>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</si>
  <si>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</si>
  <si>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</si>
  <si>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</si>
  <si>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</si>
  <si>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</si>
  <si>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</si>
  <si>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</si>
  <si>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</si>
  <si>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</si>
  <si>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</si>
  <si>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</si>
  <si>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</si>
  <si>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</si>
  <si>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</si>
  <si>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</si>
  <si>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</si>
  <si>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</si>
  <si>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</si>
  <si>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</si>
  <si>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</si>
  <si>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</si>
  <si>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</si>
  <si>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</si>
  <si>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</si>
  <si>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</si>
  <si>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</si>
  <si>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</si>
  <si>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</si>
  <si>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</si>
  <si>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</si>
  <si>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</si>
  <si>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</si>
  <si>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</si>
  <si>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</si>
  <si>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</si>
  <si>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</si>
  <si>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</si>
  <si>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</si>
  <si>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</si>
  <si>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</si>
  <si>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</si>
  <si>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</si>
  <si>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</si>
  <si>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</si>
  <si>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</si>
  <si>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</si>
  <si>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</si>
  <si>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</si>
  <si>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</si>
  <si>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</si>
  <si>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</si>
  <si>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</si>
  <si>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</si>
  <si>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</si>
  <si>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</si>
  <si>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</si>
  <si>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</si>
  <si>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</si>
  <si>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</si>
  <si>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</si>
  <si>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</si>
  <si>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</si>
  <si>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</si>
  <si>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</si>
  <si>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</si>
  <si>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</si>
  <si>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</si>
  <si>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</si>
  <si>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</si>
  <si>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</si>
  <si>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</si>
  <si>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</si>
  <si>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</si>
  <si>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</si>
  <si>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</si>
  <si>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</si>
  <si>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</si>
  <si>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</si>
  <si>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</si>
  <si>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</si>
  <si>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</si>
  <si>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</si>
  <si>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</si>
  <si>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</si>
  <si>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</si>
  <si>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</si>
  <si>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</si>
  <si>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</si>
  <si>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</si>
  <si>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</si>
  <si>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</si>
  <si>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</si>
  <si>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</si>
  <si>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</si>
  <si>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</si>
  <si>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</si>
  <si>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</si>
  <si>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</si>
  <si>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</si>
  <si>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</si>
  <si>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</si>
  <si>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</si>
  <si>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</si>
  <si>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</si>
  <si>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</si>
  <si>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</si>
  <si>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</si>
  <si>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</si>
  <si>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</si>
  <si>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</si>
  <si>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</si>
  <si>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</si>
  <si>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</si>
  <si>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</si>
  <si>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</si>
  <si>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</si>
  <si>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</si>
  <si>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</si>
  <si>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</si>
  <si>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</si>
  <si>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</si>
  <si>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</si>
  <si>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</si>
  <si>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</si>
  <si>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</si>
  <si>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</si>
  <si>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</si>
  <si>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</si>
  <si>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</si>
  <si>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</si>
  <si>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</si>
  <si>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</si>
  <si>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</si>
  <si>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</si>
  <si>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</si>
  <si>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</si>
  <si>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</si>
  <si>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</si>
  <si>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</si>
  <si>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</si>
  <si>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</si>
  <si>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</si>
  <si>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</si>
  <si>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</si>
  <si>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</si>
  <si>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</si>
  <si>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</si>
  <si>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</si>
  <si>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</si>
  <si>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</si>
  <si>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</si>
  <si>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</si>
  <si>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</si>
  <si>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</si>
  <si>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</si>
  <si>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</si>
  <si>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</si>
  <si>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</si>
  <si>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</si>
  <si>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</si>
  <si>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</si>
  <si>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</si>
  <si>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</si>
  <si>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</si>
  <si>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</si>
  <si>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</si>
  <si>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</si>
  <si>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</si>
  <si>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</si>
  <si>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</si>
  <si>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</si>
  <si>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</si>
  <si>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</si>
  <si>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</si>
  <si>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</si>
  <si>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</si>
  <si>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</si>
  <si>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</si>
  <si>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</si>
  <si>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</si>
  <si>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</si>
  <si>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</si>
  <si>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</si>
  <si>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</si>
  <si>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</si>
  <si>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</si>
  <si>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</si>
  <si>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</si>
  <si>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</si>
  <si>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</si>
  <si>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</si>
  <si>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</si>
  <si>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</si>
  <si>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</si>
  <si>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</si>
  <si>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</si>
  <si>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</si>
  <si>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</si>
  <si>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</si>
  <si>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</si>
  <si>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</si>
  <si>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</si>
  <si>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</si>
  <si>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</si>
  <si>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</si>
  <si>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</si>
  <si>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</si>
  <si>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</si>
  <si>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</si>
  <si>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</si>
  <si>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</si>
  <si>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</si>
  <si>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</si>
  <si>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</si>
  <si>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</si>
  <si>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</si>
  <si>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</si>
  <si>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</si>
  <si>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</si>
  <si>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</si>
  <si>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</si>
  <si>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</si>
  <si>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</si>
  <si>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</si>
  <si>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</si>
  <si>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</si>
  <si>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</si>
  <si>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</si>
  <si>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</si>
  <si>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</si>
  <si>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</si>
  <si>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</si>
  <si>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</si>
  <si>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</si>
  <si>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</si>
  <si>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</si>
  <si>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</si>
  <si>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</si>
  <si>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</si>
  <si>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</si>
  <si>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</si>
  <si>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</si>
  <si>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</si>
  <si>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</si>
  <si>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</si>
  <si>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</si>
  <si>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</si>
  <si>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</si>
  <si>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</si>
  <si>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</si>
  <si>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</si>
  <si>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</si>
  <si>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</si>
  <si>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</si>
  <si>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</si>
  <si>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</si>
  <si>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</si>
  <si>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</si>
  <si>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</si>
  <si>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</si>
  <si>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</si>
  <si>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</si>
  <si>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</si>
  <si>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</si>
  <si>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</si>
  <si>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</si>
  <si>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</si>
  <si>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</si>
  <si>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</si>
  <si>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</si>
  <si>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</si>
  <si>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</si>
  <si>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</si>
  <si>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</si>
  <si>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</si>
  <si>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</si>
  <si>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</si>
  <si>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</si>
  <si>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</si>
  <si>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</si>
  <si>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</si>
  <si>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</si>
  <si>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</si>
  <si>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</si>
  <si>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</si>
  <si>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</si>
  <si>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</si>
  <si>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</si>
  <si>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</si>
  <si>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</si>
  <si>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</si>
  <si>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</si>
  <si>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</si>
  <si>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</si>
  <si>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</si>
  <si>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</si>
  <si>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</si>
  <si>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</si>
  <si>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</si>
  <si>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</si>
  <si>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</si>
  <si>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</si>
  <si>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</si>
  <si>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</si>
  <si>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</si>
  <si>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</si>
  <si>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</si>
  <si>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</si>
  <si>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</si>
  <si>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</si>
  <si>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</si>
  <si>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</si>
  <si>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</si>
  <si>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</si>
  <si>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</si>
  <si>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</si>
  <si>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</si>
  <si>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</si>
  <si>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</si>
  <si>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</si>
  <si>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</si>
  <si>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</si>
  <si>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</si>
  <si>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</si>
  <si>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</si>
  <si>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</si>
  <si>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</si>
  <si>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</si>
  <si>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</si>
  <si>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</si>
  <si>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</si>
  <si>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</si>
  <si>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</si>
  <si>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</si>
  <si>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</si>
  <si>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</si>
  <si>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</si>
  <si>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</si>
  <si>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</si>
  <si>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</si>
  <si>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</si>
  <si>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</si>
  <si>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</si>
  <si>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</si>
  <si>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</si>
  <si>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</si>
  <si>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</si>
  <si>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</si>
  <si>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</si>
  <si>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</si>
  <si>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</si>
  <si>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</si>
  <si>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</si>
  <si>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</si>
  <si>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</si>
  <si>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</si>
  <si>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</si>
  <si>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</si>
  <si>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</si>
  <si>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</si>
  <si>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</si>
  <si>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</si>
  <si>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</si>
  <si>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</si>
  <si>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</si>
  <si>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</si>
  <si>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</si>
  <si>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</si>
  <si>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</si>
  <si>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</si>
  <si>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</si>
  <si>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</si>
  <si>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</si>
  <si>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</si>
  <si>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</si>
  <si>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</si>
  <si>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</si>
  <si>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</si>
  <si>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</si>
  <si>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</si>
  <si>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</si>
  <si>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</si>
  <si>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</si>
  <si>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</si>
  <si>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</si>
  <si>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</si>
  <si>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</si>
  <si>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</si>
  <si>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</si>
  <si>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</si>
  <si>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</si>
  <si>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</si>
  <si>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</si>
  <si>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</si>
  <si>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</si>
  <si>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</si>
  <si>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</si>
  <si>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</si>
  <si>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</si>
  <si>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</si>
  <si>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</si>
  <si>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</si>
  <si>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</si>
  <si>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</si>
  <si>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</si>
  <si>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</si>
  <si>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</si>
  <si>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</si>
  <si>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</si>
  <si>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</si>
  <si>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</si>
  <si>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</si>
  <si>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</si>
  <si>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</si>
  <si>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</si>
  <si>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</si>
  <si>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</si>
  <si>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</si>
  <si>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</si>
  <si>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</si>
  <si>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</si>
  <si>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</si>
  <si>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</si>
  <si>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</si>
  <si>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</si>
  <si>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</si>
  <si>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</si>
  <si>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</si>
  <si>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</si>
  <si>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</si>
  <si>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</si>
  <si>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</si>
  <si>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</si>
  <si>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</si>
  <si>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</si>
  <si>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</si>
  <si>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</si>
  <si>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</si>
  <si>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</si>
  <si>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</si>
  <si>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</si>
  <si>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</si>
  <si>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</si>
  <si>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</si>
  <si>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</si>
  <si>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</si>
  <si>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</si>
  <si>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</si>
  <si>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</si>
  <si>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</si>
  <si>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</si>
  <si>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</si>
  <si>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</si>
  <si>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</si>
  <si>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</si>
  <si>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</si>
  <si>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</si>
  <si>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</si>
  <si>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</si>
  <si>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</si>
  <si>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</si>
  <si>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</si>
  <si>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</si>
  <si>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</si>
  <si>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</si>
  <si>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</si>
  <si>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</si>
  <si>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</si>
  <si>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</si>
  <si>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</si>
  <si>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</si>
  <si>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</si>
  <si>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</si>
  <si>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</si>
  <si>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</si>
  <si>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</si>
  <si>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</si>
  <si>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</si>
  <si>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</si>
  <si>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</si>
  <si>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</si>
  <si>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</si>
  <si>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</si>
  <si>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</si>
  <si>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</si>
  <si>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</si>
  <si>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</si>
  <si>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</si>
  <si>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</si>
  <si>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</si>
  <si>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</si>
  <si>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</si>
  <si>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</si>
  <si>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</si>
  <si>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</si>
  <si>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</si>
  <si>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</si>
  <si>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</si>
  <si>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</si>
  <si>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</si>
  <si>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</si>
  <si>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</si>
  <si>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</si>
  <si>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</si>
  <si>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</si>
  <si>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</si>
  <si>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</si>
  <si>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</si>
  <si>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</si>
  <si>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</si>
  <si>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</si>
  <si>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</si>
  <si>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</si>
  <si>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</si>
  <si>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</si>
  <si>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</si>
  <si>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</si>
  <si>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</si>
  <si>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</si>
  <si>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</si>
  <si>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</si>
  <si>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</si>
  <si>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</si>
  <si>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</si>
  <si>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</si>
  <si>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</si>
  <si>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</si>
  <si>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</si>
  <si>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</si>
  <si>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</si>
  <si>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</si>
  <si>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</si>
  <si>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</si>
  <si>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</si>
  <si>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</si>
  <si>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</si>
  <si>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</si>
  <si>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</si>
  <si>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</si>
  <si>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</si>
  <si>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</si>
  <si>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</si>
  <si>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</si>
  <si>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</si>
  <si>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</si>
  <si>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</si>
  <si>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</si>
  <si>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</si>
  <si>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</si>
  <si>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</si>
  <si>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</si>
  <si>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</si>
  <si>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</si>
  <si>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</si>
  <si>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</si>
  <si>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</si>
  <si>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</si>
  <si>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</si>
  <si>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</si>
  <si>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</si>
  <si>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</si>
  <si>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</si>
  <si>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</si>
  <si>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</si>
  <si>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</si>
  <si>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</si>
  <si>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</si>
  <si>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</si>
  <si>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</si>
  <si>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</si>
  <si>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</si>
  <si>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</si>
  <si>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</si>
  <si>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</si>
  <si>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</si>
  <si>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</si>
  <si>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</si>
  <si>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</si>
  <si>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</si>
  <si>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</si>
  <si>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</si>
  <si>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</si>
  <si>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</si>
  <si>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</si>
  <si>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</si>
  <si>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</si>
  <si>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</si>
  <si>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</si>
  <si>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</si>
  <si>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</si>
  <si>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</si>
  <si>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</si>
  <si>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</si>
  <si>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</si>
  <si>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</si>
  <si>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</si>
  <si>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</si>
  <si>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</si>
  <si>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</si>
  <si>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</si>
  <si>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</si>
  <si>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</si>
  <si>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</si>
  <si>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</si>
  <si>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</si>
  <si>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</si>
  <si>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</si>
  <si>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</si>
  <si>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</si>
  <si>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</si>
  <si>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</si>
  <si>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</si>
  <si>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</si>
  <si>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</si>
  <si>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</si>
  <si>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</si>
  <si>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</si>
  <si>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</si>
  <si>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</si>
  <si>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</si>
  <si>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</si>
  <si>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</si>
  <si>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</si>
  <si>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</si>
  <si>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</si>
  <si>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</si>
  <si>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</si>
  <si>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</si>
  <si>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</si>
  <si>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</si>
  <si>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</si>
  <si>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</si>
  <si>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</si>
  <si>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</si>
  <si>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</si>
  <si>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</si>
  <si>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</si>
  <si>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</si>
  <si>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</si>
  <si>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</si>
  <si>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</si>
  <si>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</si>
  <si>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</si>
  <si>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</si>
  <si>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</si>
  <si>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</si>
  <si>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</si>
  <si>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</si>
  <si>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</si>
  <si>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</si>
  <si>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</si>
  <si>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</si>
  <si>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</si>
  <si>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</si>
  <si>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</si>
  <si>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</si>
  <si>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</si>
  <si>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</si>
  <si>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</si>
  <si>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</si>
  <si>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</si>
  <si>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</si>
  <si>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</si>
  <si>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</si>
  <si>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</si>
  <si>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</si>
  <si>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</si>
  <si>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</si>
  <si>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</si>
  <si>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</si>
  <si>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</si>
  <si>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</si>
  <si>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</si>
  <si>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</si>
  <si>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</si>
  <si>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</si>
  <si>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</si>
  <si>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</si>
  <si>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</si>
  <si>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</si>
  <si>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</si>
  <si>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</si>
  <si>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</si>
  <si>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</si>
  <si>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</si>
  <si>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</si>
  <si>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</si>
  <si>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</si>
  <si>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</si>
  <si>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</si>
  <si>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</si>
  <si>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</si>
  <si>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</si>
  <si>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</si>
  <si>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</si>
  <si>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</si>
  <si>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</si>
  <si>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</si>
  <si>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</si>
  <si>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</si>
  <si>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</si>
  <si>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</si>
  <si>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</si>
  <si>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</si>
  <si>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</si>
  <si>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</si>
  <si>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</si>
  <si>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</si>
  <si>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</si>
  <si>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</si>
  <si>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</si>
  <si>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</si>
  <si>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</si>
  <si>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</si>
  <si>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</si>
  <si>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</si>
  <si>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</si>
  <si>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</si>
  <si>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</si>
  <si>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</si>
  <si>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</si>
  <si>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</si>
  <si>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</si>
  <si>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</si>
  <si>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</si>
  <si>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</si>
  <si>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</si>
  <si>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</si>
  <si>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</si>
  <si>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</si>
  <si>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</si>
  <si>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</si>
  <si>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</si>
  <si>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</si>
  <si>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</si>
  <si>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</si>
  <si>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</si>
  <si>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</si>
  <si>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</si>
  <si>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</si>
  <si>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</si>
  <si>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</si>
  <si>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</si>
  <si>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</si>
  <si>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</si>
  <si>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</si>
  <si>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</si>
  <si>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</si>
  <si>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</si>
  <si>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</si>
  <si>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</si>
  <si>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</si>
  <si>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</si>
  <si>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</si>
  <si>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</si>
  <si>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</si>
  <si>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</si>
  <si>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</si>
  <si>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</si>
  <si>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</si>
  <si>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</si>
  <si>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</si>
  <si>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</si>
  <si>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</si>
  <si>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</si>
  <si>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</si>
  <si>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</si>
  <si>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</si>
  <si>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</si>
  <si>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</si>
  <si>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</si>
  <si>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</si>
  <si>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</si>
  <si>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</si>
  <si>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</si>
  <si>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</si>
  <si>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</si>
  <si>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</si>
  <si>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</si>
  <si>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</si>
  <si>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</si>
  <si>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</si>
  <si>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</si>
  <si>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</si>
  <si>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</si>
  <si>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</si>
  <si>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</si>
  <si>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</si>
  <si>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</si>
  <si>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</si>
  <si>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</si>
  <si>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</si>
  <si>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</si>
  <si>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</si>
  <si>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</si>
  <si>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</si>
  <si>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</si>
  <si>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</si>
  <si>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</si>
  <si>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</si>
  <si>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</si>
  <si>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</si>
  <si>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</si>
  <si>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</si>
  <si>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</si>
  <si>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</si>
  <si>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</si>
  <si>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</si>
  <si>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</si>
  <si>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</si>
  <si>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</si>
  <si>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</si>
  <si>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</si>
  <si>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</si>
  <si>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</si>
  <si>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</si>
  <si>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</si>
  <si>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</si>
  <si>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</si>
  <si>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</si>
  <si>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</si>
  <si>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</si>
  <si>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</si>
  <si>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</si>
  <si>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</si>
  <si>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</si>
  <si>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</si>
  <si>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</si>
  <si>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</si>
  <si>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</si>
  <si>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</si>
  <si>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</si>
  <si>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</si>
  <si>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</si>
  <si>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</si>
  <si>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</si>
  <si>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</si>
  <si>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</si>
  <si>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</si>
  <si>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</si>
  <si>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</si>
  <si>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</si>
  <si>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</si>
  <si>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</si>
  <si>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</si>
  <si>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</si>
  <si>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</si>
  <si>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</si>
  <si>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</si>
  <si>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</si>
  <si>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</si>
  <si>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</si>
  <si>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</si>
  <si>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</si>
  <si>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</si>
  <si>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</si>
  <si>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</si>
  <si>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</si>
  <si>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</si>
  <si>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</si>
  <si>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</si>
  <si>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</si>
  <si>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</si>
  <si>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</si>
  <si>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</si>
  <si>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</si>
  <si>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</si>
  <si>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</si>
  <si>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</si>
  <si>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</si>
  <si>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</si>
  <si>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</si>
  <si>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</si>
  <si>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</si>
  <si>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</si>
  <si>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</si>
  <si>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</si>
  <si>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</si>
  <si>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</si>
  <si>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</si>
  <si>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</si>
  <si>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</si>
  <si>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</si>
  <si>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</si>
  <si>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</si>
  <si>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</si>
  <si>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</si>
  <si>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</si>
  <si>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</si>
  <si>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</si>
  <si>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</si>
  <si>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</si>
  <si>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</si>
  <si>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</si>
  <si>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</si>
  <si>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</si>
  <si>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</si>
  <si>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</si>
  <si>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</si>
  <si>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</si>
  <si>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</si>
  <si>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</si>
  <si>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</si>
  <si>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</si>
  <si>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</si>
  <si>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</si>
  <si>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</si>
  <si>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</si>
  <si>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</si>
  <si>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</si>
  <si>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</si>
  <si>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</si>
  <si>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</si>
  <si>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</si>
  <si>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</si>
  <si>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</si>
  <si>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</si>
  <si>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</si>
  <si>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</si>
  <si>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</si>
  <si>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</si>
  <si>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</si>
  <si>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</si>
  <si>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</si>
  <si>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</si>
  <si>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</si>
  <si>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</si>
  <si>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</si>
  <si>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</si>
  <si>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</si>
  <si>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</si>
  <si>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</si>
  <si>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</si>
  <si>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</si>
  <si>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</si>
  <si>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</si>
  <si>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</si>
  <si>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</si>
  <si>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</si>
  <si>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</si>
  <si>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</si>
  <si>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</si>
  <si>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</si>
  <si>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</si>
  <si>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</si>
  <si>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</si>
  <si>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</si>
  <si>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</si>
  <si>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</si>
  <si>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</si>
  <si>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</si>
  <si>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</si>
  <si>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</si>
  <si>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</si>
  <si>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</si>
  <si>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</si>
  <si>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</si>
  <si>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</si>
  <si>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</si>
  <si>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</si>
  <si>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</si>
  <si>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</si>
  <si>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</si>
  <si>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</si>
  <si>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</si>
  <si>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</si>
  <si>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</si>
  <si>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</si>
  <si>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</si>
  <si>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</si>
  <si>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</si>
  <si>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</si>
  <si>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</si>
  <si>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</si>
  <si>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</si>
  <si>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</si>
  <si>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</si>
  <si>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</si>
  <si>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</si>
  <si>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</si>
  <si>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</si>
  <si>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</si>
  <si>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</si>
  <si>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</si>
  <si>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</si>
  <si>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</si>
  <si>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</si>
  <si>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</si>
  <si>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</si>
  <si>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</si>
  <si>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</si>
  <si>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</si>
  <si>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</si>
  <si>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</si>
  <si>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</si>
  <si>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</si>
  <si>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</si>
  <si>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</si>
  <si>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</si>
  <si>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</si>
  <si>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</si>
  <si>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</si>
  <si>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</si>
  <si>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</si>
  <si>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</si>
  <si>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</si>
  <si>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</si>
  <si>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</si>
  <si>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</si>
  <si>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</si>
  <si>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</si>
  <si>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</si>
  <si>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</si>
  <si>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</si>
  <si>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</si>
  <si>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</si>
  <si>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</si>
  <si>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</si>
  <si>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</si>
  <si>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</si>
  <si>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</si>
  <si>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</si>
  <si>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</si>
  <si>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</si>
  <si>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</si>
  <si>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</si>
  <si>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</si>
  <si>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</si>
  <si>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</si>
  <si>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</si>
  <si>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</si>
  <si>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</si>
  <si>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</si>
  <si>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</si>
  <si>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</si>
  <si>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</si>
  <si>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</si>
  <si>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</si>
  <si>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</si>
  <si>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</si>
  <si>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</si>
  <si>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</si>
  <si>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</si>
  <si>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</si>
  <si>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</si>
  <si>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</si>
  <si>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</si>
  <si>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</si>
  <si>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</si>
  <si>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</si>
  <si>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</si>
  <si>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</si>
  <si>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</si>
  <si>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</si>
  <si>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</si>
  <si>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</si>
  <si>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</si>
  <si>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</si>
  <si>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</si>
  <si>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</si>
  <si>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</si>
  <si>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</si>
  <si>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</si>
  <si>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</si>
  <si>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</si>
  <si>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</si>
  <si>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</si>
  <si>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</si>
  <si>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</si>
  <si>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</si>
  <si>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</si>
  <si>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</si>
  <si>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</si>
  <si>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</si>
  <si>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</si>
  <si>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</si>
  <si>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</si>
  <si>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</si>
  <si>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</si>
  <si>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</si>
  <si>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</si>
  <si>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</si>
  <si>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</si>
  <si>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</si>
  <si>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</si>
  <si>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</si>
  <si>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</si>
  <si>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</si>
  <si>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</si>
  <si>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</si>
  <si>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</si>
  <si>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</si>
  <si>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</si>
  <si>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</si>
  <si>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</si>
  <si>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</si>
  <si>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</si>
  <si>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</si>
  <si>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</si>
  <si>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</si>
  <si>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</si>
  <si>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</si>
  <si>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</si>
  <si>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</si>
  <si>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</si>
  <si>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</si>
  <si>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</si>
  <si>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</si>
  <si>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</si>
  <si>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</si>
  <si>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</si>
  <si>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</si>
  <si>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</si>
  <si>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</si>
  <si>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</si>
  <si>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</si>
  <si>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</si>
  <si>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</si>
  <si>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</si>
  <si>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</si>
  <si>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</si>
  <si>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</si>
  <si>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</si>
  <si>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</si>
  <si>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</si>
  <si>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</si>
  <si>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</si>
  <si>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</si>
  <si>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</si>
  <si>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</si>
  <si>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</si>
  <si>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</si>
  <si>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</si>
  <si>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</si>
  <si>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</si>
  <si>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</si>
  <si>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</si>
  <si>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</si>
  <si>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</si>
  <si>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</si>
  <si>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</si>
  <si>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</si>
  <si>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</si>
  <si>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</si>
  <si>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</si>
  <si>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</si>
  <si>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</si>
  <si>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</si>
  <si>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</si>
  <si>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</si>
  <si>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</si>
  <si>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</si>
  <si>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</si>
  <si>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</si>
  <si>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</si>
  <si>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</si>
  <si>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</si>
  <si>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</si>
  <si>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</si>
  <si>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</si>
  <si>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</si>
  <si>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</si>
  <si>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</si>
  <si>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</si>
  <si>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</si>
  <si>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</si>
  <si>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</si>
  <si>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</si>
  <si>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</si>
  <si>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</si>
  <si>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</si>
  <si>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</si>
  <si>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</si>
  <si>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</si>
  <si>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</si>
  <si>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</si>
  <si>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</si>
  <si>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</si>
  <si>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</si>
  <si>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</si>
  <si>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</si>
  <si>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</si>
  <si>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</si>
  <si>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</si>
  <si>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</si>
  <si>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</si>
  <si>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</si>
  <si>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</si>
  <si>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</si>
  <si>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</si>
  <si>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</si>
  <si>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</si>
  <si>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</si>
  <si>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</si>
  <si>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</si>
  <si>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</si>
  <si>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</si>
  <si>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</si>
  <si>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</si>
  <si>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</si>
  <si>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</si>
  <si>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</si>
  <si>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</si>
  <si>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</si>
  <si>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</si>
  <si>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</si>
  <si>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</si>
  <si>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</si>
  <si>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</si>
  <si>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</si>
  <si>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</si>
  <si>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</si>
  <si>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</si>
  <si>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</si>
  <si>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</si>
  <si>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</si>
  <si>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</si>
  <si>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</si>
  <si>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</si>
  <si>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</si>
  <si>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</si>
  <si>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</si>
  <si>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</si>
  <si>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</si>
  <si>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</si>
  <si>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</si>
  <si>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</si>
  <si>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</si>
  <si>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</si>
  <si>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</si>
  <si>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</si>
  <si>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</si>
  <si>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</si>
  <si>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</si>
  <si>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</si>
  <si>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</si>
  <si>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</si>
  <si>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</si>
  <si>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</si>
  <si>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</si>
  <si>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</si>
  <si>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</si>
  <si>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</si>
  <si>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</si>
  <si>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</si>
  <si>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</si>
  <si>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</si>
  <si>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</si>
  <si>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</si>
  <si>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</si>
  <si>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</si>
  <si>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</si>
  <si>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</si>
  <si>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</si>
  <si>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</si>
  <si>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</si>
  <si>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</si>
  <si>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</si>
  <si>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</si>
  <si>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</si>
  <si>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</si>
  <si>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</si>
  <si>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</si>
  <si>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</si>
  <si>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</si>
  <si>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</si>
  <si>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</si>
  <si>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</si>
  <si>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</si>
  <si>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</si>
  <si>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</si>
  <si>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</si>
  <si>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</si>
  <si>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</si>
  <si>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</si>
  <si>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</si>
  <si>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</si>
  <si>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</si>
  <si>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</si>
  <si>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</si>
  <si>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</si>
  <si>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</si>
  <si>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</si>
  <si>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</si>
  <si>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</si>
  <si>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</si>
  <si>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</si>
  <si>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</si>
  <si>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</si>
  <si>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</si>
  <si>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</si>
  <si>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</si>
  <si>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</si>
  <si>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</si>
  <si>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</si>
  <si>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</si>
  <si>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</si>
  <si>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</si>
  <si>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</si>
  <si>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</si>
  <si>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</si>
  <si>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</si>
  <si>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</si>
  <si>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</si>
  <si>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</si>
  <si>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</si>
  <si>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</si>
  <si>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</si>
  <si>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</si>
  <si>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</si>
  <si>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</si>
  <si>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</si>
  <si>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</si>
  <si>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</si>
  <si>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</si>
  <si>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</si>
  <si>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</si>
  <si>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</si>
  <si>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</si>
  <si>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</si>
  <si>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</si>
  <si>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</si>
  <si>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</si>
  <si>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</si>
  <si>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</si>
  <si>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</si>
  <si>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</si>
  <si>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</si>
  <si>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</si>
  <si>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</si>
  <si>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</si>
  <si>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</si>
  <si>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</si>
  <si>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</si>
  <si>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</si>
  <si>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</si>
  <si>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</si>
  <si>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</si>
  <si>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</si>
  <si>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</si>
  <si>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</si>
  <si>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</si>
  <si>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</si>
  <si>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</si>
  <si>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</si>
  <si>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</si>
  <si>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</si>
  <si>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</si>
  <si>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</si>
  <si>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</si>
  <si>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</si>
  <si>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</si>
  <si>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</si>
  <si>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</si>
  <si>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</si>
  <si>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</si>
  <si>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</si>
  <si>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</si>
  <si>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</si>
  <si>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</si>
  <si>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</si>
  <si>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</si>
  <si>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</si>
  <si>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</si>
  <si>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</si>
  <si>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</si>
  <si>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</si>
  <si>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</si>
  <si>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</si>
  <si>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</si>
  <si>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</si>
  <si>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</si>
  <si>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</si>
  <si>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</si>
  <si>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</si>
  <si>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</si>
  <si>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</si>
  <si>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</si>
  <si>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</si>
  <si>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</si>
  <si>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</si>
  <si>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</si>
  <si>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</si>
  <si>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</si>
  <si>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</si>
  <si>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</si>
  <si>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</si>
  <si>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</si>
  <si>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</si>
  <si>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</si>
  <si>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</si>
  <si>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</si>
  <si>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</si>
  <si>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</si>
  <si>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</si>
  <si>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</si>
  <si>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</si>
  <si>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</si>
  <si>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</si>
  <si>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</si>
  <si>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</si>
  <si>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</si>
  <si>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</si>
  <si>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</si>
  <si>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</si>
  <si>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</si>
  <si>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</si>
  <si>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</si>
  <si>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</si>
  <si>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</si>
  <si>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</si>
  <si>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</si>
  <si>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</si>
  <si>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</si>
  <si>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</si>
  <si>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</si>
  <si>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</si>
  <si>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</si>
  <si>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</si>
  <si>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</si>
  <si>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</si>
  <si>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</si>
  <si>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</si>
  <si>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</si>
  <si>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</si>
  <si>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</si>
  <si>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</si>
  <si>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</si>
  <si>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</si>
  <si>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</si>
  <si>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</si>
  <si>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</si>
  <si>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</si>
  <si>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</si>
  <si>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</si>
  <si>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</si>
  <si>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</si>
  <si>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</si>
  <si>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</si>
  <si>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</si>
  <si>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</si>
  <si>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</si>
  <si>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</si>
  <si>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</si>
  <si>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</si>
  <si>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</si>
  <si>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</si>
  <si>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</si>
  <si>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</si>
  <si>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</si>
  <si>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</si>
  <si>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</si>
  <si>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</si>
  <si>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</si>
  <si>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</si>
  <si>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</si>
  <si>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</si>
  <si>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</si>
  <si>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</si>
  <si>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</si>
  <si>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</si>
  <si>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</si>
  <si>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</si>
  <si>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</si>
  <si>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</si>
  <si>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</si>
  <si>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</si>
  <si>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</si>
  <si>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</si>
  <si>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</si>
  <si>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</si>
  <si>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</si>
  <si>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</si>
  <si>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</si>
  <si>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</si>
  <si>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</si>
  <si>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</si>
  <si>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</si>
  <si>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</si>
  <si>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</si>
  <si>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</si>
  <si>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</si>
  <si>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</si>
  <si>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</si>
  <si>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</si>
  <si>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</si>
  <si>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</si>
  <si>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</si>
  <si>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</si>
  <si>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</si>
  <si>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</si>
  <si>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</si>
  <si>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</si>
  <si>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</si>
  <si>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</si>
  <si>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</si>
  <si>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</si>
  <si>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</si>
  <si>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</si>
  <si>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</si>
  <si>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</si>
  <si>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</si>
  <si>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</si>
  <si>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</si>
  <si>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</si>
  <si>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</si>
  <si>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</si>
  <si>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</si>
  <si>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</si>
  <si>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</si>
  <si>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</si>
  <si>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</si>
  <si>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</si>
  <si>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</si>
  <si>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</si>
  <si>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</si>
  <si>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</si>
  <si>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</si>
  <si>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</si>
  <si>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</si>
  <si>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</si>
  <si>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</si>
  <si>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</si>
  <si>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</si>
  <si>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</si>
  <si>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</si>
  <si>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</si>
  <si>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</si>
  <si>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</si>
  <si>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</si>
  <si>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</si>
  <si>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</si>
  <si>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</si>
  <si>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</si>
  <si>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</si>
  <si>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</si>
  <si>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</si>
  <si>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</si>
  <si>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</si>
  <si>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</si>
  <si>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</si>
  <si>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</si>
  <si>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</si>
  <si>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</si>
  <si>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</si>
  <si>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</si>
  <si>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</si>
  <si>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</si>
  <si>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</si>
  <si>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</si>
  <si>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</si>
  <si>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</si>
  <si>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</si>
  <si>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</si>
  <si>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</si>
  <si>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</si>
  <si>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</si>
  <si>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</si>
  <si>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</si>
  <si>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</si>
  <si>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</si>
  <si>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</si>
  <si>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</si>
  <si>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</si>
  <si>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</si>
  <si>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</si>
  <si>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</si>
  <si>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</si>
  <si>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</si>
  <si>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</si>
  <si>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</si>
  <si>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</si>
  <si>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</si>
  <si>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</si>
  <si>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</si>
  <si>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</si>
  <si>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</si>
  <si>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</si>
  <si>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</si>
  <si>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</si>
  <si>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</si>
  <si>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</si>
  <si>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</si>
  <si>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</si>
  <si>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</si>
  <si>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</si>
  <si>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</si>
  <si>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</si>
  <si>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</si>
  <si>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</si>
  <si>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</si>
  <si>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</si>
  <si>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</si>
  <si>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</si>
  <si>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</si>
  <si>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</si>
  <si>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</si>
  <si>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</si>
  <si>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</si>
  <si>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</si>
  <si>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</si>
  <si>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</si>
  <si>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</si>
  <si>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</si>
  <si>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</si>
  <si>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</si>
  <si>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</si>
  <si>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</si>
  <si>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</si>
  <si>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</si>
  <si>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</si>
  <si>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</si>
  <si>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</si>
  <si>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</si>
  <si>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</si>
  <si>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</si>
  <si>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</si>
  <si>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</si>
  <si>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</si>
  <si>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</si>
  <si>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</si>
  <si>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</si>
  <si>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</si>
  <si>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</si>
  <si>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</si>
  <si>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</si>
  <si>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</si>
  <si>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</si>
  <si>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</si>
  <si>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</si>
  <si>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</si>
  <si>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</si>
  <si>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</si>
  <si>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</si>
  <si>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</si>
  <si>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</si>
  <si>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</si>
  <si>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</si>
  <si>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</si>
  <si>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</si>
  <si>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</si>
  <si>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</si>
  <si>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</si>
  <si>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</si>
  <si>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</si>
  <si>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</si>
  <si>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</si>
  <si>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</si>
  <si>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</si>
  <si>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</si>
  <si>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</si>
  <si>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</si>
  <si>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</si>
  <si>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</si>
  <si>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</si>
  <si>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</si>
  <si>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</si>
  <si>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</si>
  <si>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</si>
  <si>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</si>
  <si>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</si>
  <si>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</si>
  <si>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</si>
  <si>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</si>
  <si>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</si>
  <si>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</si>
  <si>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</si>
  <si>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</si>
  <si>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</si>
  <si>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</si>
  <si>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</si>
  <si>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</si>
  <si>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</si>
  <si>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</si>
  <si>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</si>
  <si>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</si>
  <si>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</si>
  <si>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</si>
  <si>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</si>
  <si>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</si>
  <si>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</si>
  <si>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</si>
  <si>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</si>
  <si>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</si>
  <si>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</si>
  <si>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</si>
  <si>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</si>
  <si>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</si>
  <si>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</si>
  <si>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</si>
  <si>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</si>
  <si>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</si>
  <si>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</si>
  <si>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</si>
  <si>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</si>
  <si>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</si>
  <si>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</si>
  <si>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</si>
  <si>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</si>
  <si>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</si>
  <si>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</si>
  <si>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</si>
  <si>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</si>
  <si>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</si>
  <si>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</si>
  <si>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</si>
  <si>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</si>
  <si>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</si>
  <si>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</si>
  <si>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</si>
  <si>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</si>
  <si>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</si>
  <si>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</si>
  <si>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</si>
  <si>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</si>
  <si>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</si>
  <si>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</si>
  <si>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</si>
  <si>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</si>
  <si>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</si>
  <si>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</si>
  <si>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</si>
  <si>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</si>
  <si>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</si>
  <si>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</si>
  <si>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</si>
  <si>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</si>
  <si>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</si>
  <si>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</si>
  <si>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</si>
  <si>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</si>
  <si>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</si>
  <si>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</si>
  <si>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</si>
  <si>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</si>
  <si>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</si>
  <si>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</si>
  <si>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</si>
  <si>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</si>
  <si>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</si>
  <si>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</si>
  <si>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</si>
  <si>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</si>
  <si>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</si>
  <si>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</si>
  <si>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</si>
  <si>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</si>
  <si>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</si>
  <si>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</si>
  <si>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</si>
  <si>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</si>
  <si>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</si>
  <si>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</si>
  <si>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</si>
  <si>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</si>
  <si>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</si>
  <si>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</si>
  <si>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</si>
  <si>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</si>
  <si>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</si>
  <si>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</si>
  <si>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</si>
  <si>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</si>
  <si>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</si>
  <si>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</si>
  <si>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</si>
  <si>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</si>
  <si>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</si>
  <si>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</si>
  <si>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</si>
  <si>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</si>
  <si>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</si>
  <si>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</si>
  <si>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</si>
  <si>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</si>
  <si>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</si>
  <si>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</si>
  <si>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</si>
  <si>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</si>
  <si>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</si>
  <si>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</si>
  <si>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</si>
  <si>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</si>
  <si>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</si>
  <si>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</si>
  <si>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</si>
  <si>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</si>
  <si>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</si>
  <si>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</si>
  <si>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</si>
  <si>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</si>
  <si>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</si>
  <si>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</si>
  <si>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</si>
  <si>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</si>
  <si>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</si>
  <si>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</si>
  <si>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</si>
  <si>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</si>
  <si>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</si>
  <si>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</si>
  <si>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</si>
  <si>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</si>
  <si>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</si>
  <si>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</si>
  <si>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</si>
  <si>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</si>
  <si>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</si>
  <si>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</si>
  <si>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</si>
  <si>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</si>
  <si>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</si>
  <si>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</si>
  <si>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</si>
  <si>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</si>
  <si>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</si>
  <si>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</si>
  <si>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</si>
  <si>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</si>
  <si>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</si>
  <si>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</si>
  <si>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</si>
  <si>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</si>
  <si>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</si>
  <si>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</si>
  <si>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</si>
  <si>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</si>
  <si>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</si>
  <si>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</si>
  <si>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</si>
  <si>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</si>
  <si>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</si>
  <si>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</si>
  <si>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</si>
  <si>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</si>
  <si>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</si>
  <si>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</si>
  <si>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</si>
  <si>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</si>
  <si>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</si>
  <si>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</si>
  <si>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</si>
  <si>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</si>
  <si>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</si>
  <si>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</si>
  <si>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</si>
  <si>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</si>
  <si>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</si>
  <si>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</si>
  <si>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</si>
  <si>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</si>
  <si>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</si>
  <si>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</si>
  <si>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</si>
  <si>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</si>
  <si>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</si>
  <si>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</si>
  <si>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</si>
  <si>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</si>
  <si>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</si>
  <si>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</si>
  <si>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</si>
  <si>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</si>
  <si>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</si>
  <si>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</si>
  <si>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</si>
  <si>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</si>
  <si>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</si>
  <si>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</si>
  <si>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</si>
  <si>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</si>
  <si>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</si>
  <si>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</si>
  <si>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</si>
  <si>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</si>
  <si>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</si>
  <si>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</si>
  <si>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</si>
  <si>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</si>
  <si>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</si>
  <si>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</si>
  <si>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</si>
  <si>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</si>
  <si>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</si>
  <si>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</si>
  <si>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</si>
  <si>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</si>
  <si>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</si>
  <si>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</si>
  <si>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</si>
  <si>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</si>
  <si>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</si>
  <si>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</si>
  <si>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</si>
  <si>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</si>
  <si>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</si>
  <si>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</si>
  <si>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</si>
  <si>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</si>
  <si>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</si>
  <si>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</si>
  <si>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</si>
  <si>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</si>
  <si>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</si>
  <si>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</si>
  <si>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</si>
  <si>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</si>
  <si>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</si>
  <si>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</si>
  <si>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</si>
  <si>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</si>
  <si>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</si>
  <si>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</si>
  <si>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</si>
  <si>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</si>
  <si>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</si>
  <si>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</si>
  <si>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</si>
  <si>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</si>
  <si>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</si>
  <si>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</si>
  <si>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</si>
  <si>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</si>
  <si>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</si>
  <si>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</si>
  <si>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</si>
  <si>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</si>
  <si>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</si>
  <si>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</si>
  <si>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</si>
  <si>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</si>
  <si>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</si>
  <si>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</si>
  <si>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</si>
  <si>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</si>
  <si>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</si>
  <si>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</si>
  <si>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</si>
  <si>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</si>
  <si>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</si>
  <si>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</si>
  <si>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</si>
  <si>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</si>
  <si>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</si>
  <si>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</si>
  <si>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</si>
  <si>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</si>
  <si>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</si>
  <si>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</si>
  <si>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</si>
  <si>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</si>
  <si>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</si>
  <si>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</si>
  <si>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</si>
  <si>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</si>
  <si>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</si>
  <si>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</si>
  <si>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</si>
  <si>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</si>
  <si>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</si>
  <si>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</si>
  <si>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</si>
  <si>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</si>
  <si>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</si>
  <si>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</si>
  <si>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</si>
  <si>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</si>
  <si>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</si>
  <si>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</si>
  <si>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</si>
  <si>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</si>
  <si>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</si>
  <si>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</si>
  <si>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</si>
  <si>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</si>
  <si>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</si>
  <si>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</si>
  <si>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</si>
  <si>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</si>
  <si>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</si>
  <si>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</si>
  <si>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</si>
  <si>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</si>
  <si>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</si>
  <si>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</si>
  <si>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</si>
  <si>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</si>
  <si>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</si>
  <si>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</si>
  <si>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</si>
  <si>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</si>
  <si>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</si>
  <si>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</si>
  <si>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</si>
  <si>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</si>
  <si>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</si>
  <si>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</si>
  <si>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</si>
  <si>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</si>
  <si>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</si>
  <si>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</si>
  <si>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</si>
  <si>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</si>
  <si>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</si>
  <si>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</si>
  <si>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</si>
  <si>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</si>
  <si>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</si>
  <si>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</si>
  <si>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</si>
  <si>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</si>
  <si>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</si>
  <si>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</si>
  <si>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</si>
  <si>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</si>
  <si>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</si>
  <si>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</si>
  <si>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</si>
  <si>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</si>
  <si>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</si>
  <si>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</si>
  <si>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</si>
  <si>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</si>
  <si>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</si>
  <si>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</si>
  <si>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</si>
  <si>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</si>
  <si>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</si>
  <si>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</si>
  <si>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</si>
  <si>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</si>
  <si>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</si>
  <si>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</si>
  <si>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</si>
  <si>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</si>
  <si>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</si>
  <si>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</si>
  <si>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</si>
  <si>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</si>
  <si>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</si>
  <si>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</si>
  <si>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</si>
  <si>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</si>
  <si>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</si>
  <si>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</si>
  <si>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</si>
  <si>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</si>
  <si>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</si>
  <si>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</si>
  <si>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</si>
  <si>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</si>
  <si>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</si>
  <si>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</si>
  <si>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</si>
  <si>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</si>
  <si>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</si>
  <si>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</si>
  <si>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</si>
  <si>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</si>
  <si>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</si>
  <si>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</si>
  <si>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</si>
  <si>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</si>
  <si>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</si>
  <si>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</si>
  <si>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</si>
  <si>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</si>
  <si>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</si>
  <si>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</si>
  <si>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</si>
  <si>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</si>
  <si>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</si>
  <si>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</si>
  <si>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</si>
  <si>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</si>
  <si>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</si>
  <si>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</si>
  <si>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</si>
  <si>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</si>
  <si>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</si>
  <si>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</si>
  <si>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</si>
  <si>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</si>
  <si>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</si>
  <si>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</si>
  <si>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</si>
  <si>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</si>
  <si>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</si>
  <si>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</si>
  <si>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</si>
  <si>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</si>
  <si>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</si>
  <si>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</si>
  <si>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</si>
  <si>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</si>
  <si>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</si>
  <si>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</si>
  <si>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</si>
  <si>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</si>
  <si>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</si>
  <si>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</si>
  <si>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</si>
  <si>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</si>
  <si>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</si>
  <si>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</si>
  <si>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</si>
  <si>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</si>
  <si>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</si>
  <si>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</si>
  <si>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</si>
  <si>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</si>
  <si>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</si>
  <si>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</si>
  <si>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</si>
  <si>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</si>
  <si>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</si>
  <si>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</si>
  <si>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</si>
  <si>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</si>
  <si>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</si>
  <si>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</si>
  <si>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</si>
  <si>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</si>
  <si>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</si>
  <si>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</si>
  <si>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</si>
  <si>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</si>
  <si>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</si>
  <si>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</si>
  <si>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</si>
  <si>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</si>
  <si>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</si>
  <si>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</si>
  <si>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</si>
  <si>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</si>
  <si>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</si>
  <si>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</si>
  <si>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</si>
  <si>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</si>
  <si>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</si>
  <si>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</si>
  <si>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</si>
  <si>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</si>
  <si>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</si>
  <si>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</si>
  <si>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</si>
  <si>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</si>
  <si>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</si>
  <si>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</si>
  <si>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</si>
  <si>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</si>
  <si>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</si>
  <si>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</si>
  <si>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</si>
  <si>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</si>
  <si>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</si>
  <si>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</si>
  <si>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</si>
  <si>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</si>
  <si>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</si>
  <si>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</si>
  <si>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</si>
  <si>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</si>
  <si>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</si>
  <si>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</si>
  <si>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</si>
  <si>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</si>
  <si>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</si>
  <si>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</si>
  <si>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</si>
  <si>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</si>
  <si>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</si>
  <si>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</si>
  <si>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</si>
  <si>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</si>
  <si>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</si>
  <si>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</si>
  <si>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</si>
  <si>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</si>
  <si>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</si>
  <si>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</si>
  <si>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</si>
  <si>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</si>
  <si>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</si>
  <si>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</si>
  <si>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</si>
  <si>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</si>
  <si>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</si>
  <si>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</si>
  <si>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</si>
  <si>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</si>
  <si>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</si>
  <si>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</si>
  <si>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</si>
  <si>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</si>
  <si>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</si>
  <si>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</si>
  <si>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</si>
  <si>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</si>
  <si>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</si>
  <si>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</si>
  <si>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</si>
  <si>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</si>
  <si>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</si>
  <si>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</si>
  <si>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</si>
  <si>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</si>
  <si>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</si>
  <si>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</si>
  <si>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</si>
  <si>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</si>
  <si>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</si>
  <si>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</si>
  <si>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</si>
  <si>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</si>
  <si>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</si>
  <si>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</si>
  <si>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</si>
  <si>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</si>
  <si>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</si>
  <si>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</si>
  <si>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</si>
  <si>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</si>
  <si>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</si>
  <si>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</si>
  <si>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</si>
  <si>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</si>
  <si>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</si>
  <si>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</si>
  <si>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</si>
  <si>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</si>
  <si>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</si>
  <si>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</si>
  <si>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</si>
  <si>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</si>
  <si>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</si>
  <si>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</si>
  <si>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</si>
  <si>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</si>
  <si>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</si>
  <si>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</si>
  <si>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</si>
  <si>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</si>
  <si>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</si>
  <si>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</si>
  <si>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</si>
  <si>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</si>
  <si>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</si>
  <si>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</si>
  <si>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</si>
  <si>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</si>
  <si>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</si>
  <si>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</si>
  <si>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</si>
  <si>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</si>
  <si>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</si>
  <si>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</si>
  <si>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</si>
  <si>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</si>
  <si>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</si>
  <si>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</si>
  <si>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</si>
  <si>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</si>
  <si>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</si>
  <si>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</si>
  <si>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</si>
  <si>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</si>
  <si>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</si>
  <si>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</si>
  <si>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</si>
  <si>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</si>
  <si>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</si>
  <si>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</si>
  <si>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</si>
  <si>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</si>
  <si>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</si>
  <si>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</si>
  <si>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</si>
  <si>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</si>
  <si>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</si>
  <si>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</si>
  <si>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</si>
  <si>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</si>
  <si>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</si>
  <si>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</si>
  <si>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</si>
  <si>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</si>
  <si>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</si>
  <si>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</si>
  <si>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</si>
  <si>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</si>
  <si>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</si>
  <si>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</si>
  <si>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</si>
  <si>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</si>
  <si>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</si>
  <si>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</si>
  <si>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</si>
  <si>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</si>
  <si>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</si>
  <si>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</si>
  <si>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</si>
  <si>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</si>
  <si>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</si>
  <si>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</si>
  <si>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</si>
  <si>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</si>
  <si>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</si>
  <si>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</si>
  <si>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</si>
  <si>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</si>
  <si>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</si>
  <si>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</si>
  <si>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</si>
  <si>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</si>
  <si>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</si>
  <si>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</si>
  <si>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</si>
  <si>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</si>
  <si>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</si>
  <si>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</si>
  <si>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</si>
  <si>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</si>
  <si>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</si>
  <si>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</si>
  <si>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</si>
  <si>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</si>
  <si>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</si>
  <si>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</si>
  <si>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</si>
  <si>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</si>
  <si>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</si>
  <si>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</si>
  <si>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</si>
  <si>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</si>
  <si>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</si>
  <si>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</si>
  <si>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</si>
  <si>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</si>
  <si>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</si>
  <si>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</si>
  <si>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</si>
  <si>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</si>
  <si>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</si>
  <si>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</si>
  <si>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</si>
  <si>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</si>
  <si>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</si>
  <si>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</si>
  <si>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</si>
  <si>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</si>
  <si>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</si>
  <si>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</si>
  <si>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</si>
  <si>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</si>
  <si>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</si>
  <si>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</si>
  <si>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</si>
  <si>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</si>
  <si>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</si>
  <si>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</si>
  <si>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</si>
  <si>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</si>
  <si>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</si>
  <si>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</si>
  <si>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</si>
  <si>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</si>
  <si>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</si>
  <si>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</si>
  <si>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</si>
  <si>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</si>
  <si>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</si>
  <si>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</si>
  <si>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</si>
  <si>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</si>
  <si>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</si>
  <si>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</si>
  <si>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</si>
  <si>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</si>
  <si>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</si>
  <si>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</si>
  <si>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</si>
  <si>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</si>
  <si>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</si>
  <si>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</si>
  <si>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</si>
  <si>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</si>
  <si>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</si>
  <si>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</si>
  <si>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</si>
  <si>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</si>
  <si>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</si>
  <si>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</si>
  <si>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</si>
  <si>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</si>
  <si>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</si>
  <si>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</si>
  <si>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</si>
  <si>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</si>
  <si>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</si>
  <si>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</si>
  <si>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</si>
  <si>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</si>
  <si>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</si>
  <si>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</si>
  <si>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</si>
  <si>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</si>
  <si>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</si>
  <si>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</si>
  <si>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</si>
  <si>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</si>
  <si>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</si>
  <si>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</si>
  <si>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</si>
  <si>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</si>
  <si>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</si>
  <si>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</si>
  <si>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</si>
  <si>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</si>
  <si>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</si>
  <si>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</si>
  <si>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</si>
  <si>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</si>
  <si>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</si>
  <si>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</si>
  <si>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</si>
  <si>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</si>
  <si>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</si>
  <si>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</si>
  <si>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</si>
  <si>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</si>
  <si>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</si>
  <si>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</si>
  <si>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</si>
  <si>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</si>
  <si>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</si>
  <si>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</si>
  <si>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</si>
  <si>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</si>
  <si>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</si>
  <si>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</si>
  <si>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</si>
  <si>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</si>
  <si>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</si>
  <si>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</si>
  <si>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</si>
  <si>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</si>
  <si>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</si>
  <si>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</si>
  <si>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</si>
  <si>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</si>
  <si>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</si>
  <si>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</si>
  <si>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</si>
  <si>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</si>
  <si>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</si>
  <si>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</si>
  <si>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</si>
  <si>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</si>
  <si>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</si>
  <si>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</si>
  <si>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</si>
  <si>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</si>
  <si>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</si>
  <si>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</si>
  <si>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</si>
  <si>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</si>
  <si>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</si>
  <si>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</si>
  <si>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</si>
  <si>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</si>
  <si>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</si>
  <si>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</si>
  <si>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</si>
  <si>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</si>
  <si>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</si>
  <si>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</si>
  <si>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</si>
  <si>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</si>
  <si>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</si>
  <si>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</si>
  <si>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</si>
  <si>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</si>
  <si>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</si>
  <si>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</si>
  <si>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</si>
  <si>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</si>
  <si>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</si>
  <si>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</si>
  <si>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</si>
  <si>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</si>
  <si>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</si>
  <si>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</si>
  <si>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</si>
  <si>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</si>
  <si>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</si>
  <si>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</si>
  <si>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</si>
  <si>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</si>
  <si>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</si>
  <si>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</si>
  <si>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</si>
  <si>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</si>
  <si>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</si>
  <si>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</si>
  <si>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</si>
  <si>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</si>
  <si>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</si>
  <si>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</si>
  <si>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</si>
  <si>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</si>
  <si>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</si>
  <si>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</si>
  <si>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</si>
  <si>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</si>
  <si>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</si>
  <si>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</si>
  <si>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</si>
  <si>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</si>
  <si>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</si>
  <si>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</si>
  <si>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</si>
  <si>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</si>
  <si>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</si>
  <si>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</si>
  <si>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</si>
  <si>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</si>
  <si>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</si>
  <si>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</si>
  <si>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</si>
  <si>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</si>
  <si>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</si>
  <si>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</si>
  <si>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</si>
  <si>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</si>
  <si>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</si>
  <si>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</si>
  <si>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</si>
  <si>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</si>
  <si>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</si>
  <si>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</si>
  <si>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</si>
  <si>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</si>
  <si>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</si>
  <si>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</si>
  <si>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</si>
  <si>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</si>
  <si>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</si>
  <si>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</si>
  <si>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</si>
  <si>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</si>
  <si>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</si>
  <si>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</si>
  <si>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</si>
  <si>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</si>
  <si>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</si>
  <si>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</si>
  <si>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</si>
  <si>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</si>
  <si>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</si>
  <si>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</si>
  <si>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</si>
  <si>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</si>
  <si>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</si>
  <si>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</si>
  <si>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</si>
  <si>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</si>
  <si>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</si>
  <si>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</si>
  <si>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</si>
  <si>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</si>
  <si>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</si>
  <si>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</si>
  <si>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</si>
  <si>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</si>
  <si>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</si>
  <si>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</si>
  <si>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</si>
  <si>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</si>
  <si>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</si>
  <si>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</si>
  <si>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</si>
  <si>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</si>
  <si>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</si>
  <si>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</si>
  <si>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</si>
  <si>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</si>
  <si>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</si>
  <si>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</si>
  <si>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</si>
  <si>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</si>
  <si>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</si>
  <si>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</si>
  <si>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</si>
  <si>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</si>
  <si>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</si>
  <si>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</si>
  <si>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</si>
  <si>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</si>
  <si>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</si>
  <si>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</si>
  <si>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</si>
  <si>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</si>
  <si>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</si>
  <si>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</si>
  <si>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</si>
  <si>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</si>
  <si>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</si>
  <si>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</si>
  <si>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</si>
  <si>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</si>
  <si>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</si>
  <si>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</si>
  <si>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</si>
  <si>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</si>
  <si>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</si>
  <si>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</si>
  <si>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</si>
  <si>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</si>
  <si>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</si>
  <si>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</si>
  <si>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</si>
  <si>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</si>
  <si>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</si>
  <si>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</si>
  <si>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</si>
  <si>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</si>
  <si>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</si>
  <si>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</si>
  <si>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</si>
  <si>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</si>
  <si>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</si>
  <si>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</si>
  <si>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</si>
  <si>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</si>
  <si>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</si>
  <si>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</si>
  <si>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</si>
  <si>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</si>
  <si>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</si>
  <si>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</si>
  <si>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</si>
  <si>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</si>
  <si>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</si>
  <si>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</si>
  <si>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</si>
  <si>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</si>
  <si>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</si>
  <si>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</si>
  <si>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</si>
  <si>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</si>
  <si>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</si>
  <si>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</si>
  <si>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</si>
  <si>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</si>
  <si>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</si>
  <si>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</si>
  <si>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</si>
  <si>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</si>
  <si>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</si>
  <si>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</si>
  <si>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</si>
  <si>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</si>
  <si>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</si>
  <si>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</si>
  <si>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</si>
  <si>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</si>
  <si>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</si>
  <si>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</si>
  <si>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</si>
  <si>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</si>
  <si>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</si>
  <si>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</si>
  <si>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</si>
  <si>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</si>
  <si>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</si>
  <si>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</si>
  <si>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</si>
  <si>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</si>
  <si>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</si>
  <si>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</si>
  <si>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</si>
  <si>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</si>
  <si>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</si>
  <si>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</si>
  <si>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</si>
  <si>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</si>
  <si>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</si>
  <si>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</si>
  <si>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</si>
  <si>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</si>
  <si>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</si>
  <si>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</si>
  <si>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</si>
  <si>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</si>
  <si>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</si>
  <si>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</si>
  <si>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</si>
  <si>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</si>
  <si>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</si>
  <si>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</si>
  <si>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</si>
  <si>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</si>
  <si>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</si>
  <si>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</si>
  <si>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</si>
  <si>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</si>
  <si>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</si>
  <si>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</si>
  <si>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</si>
  <si>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</si>
  <si>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</si>
  <si>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</si>
  <si>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</si>
  <si>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</si>
  <si>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</si>
  <si>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</si>
  <si>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</si>
  <si>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</si>
  <si>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</si>
  <si>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</si>
  <si>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</si>
  <si>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</si>
  <si>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</si>
  <si>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</si>
  <si>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</si>
  <si>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</si>
  <si>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</si>
  <si>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</si>
  <si>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</si>
  <si>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</si>
  <si>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</si>
  <si>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</si>
  <si>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</si>
  <si>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</si>
  <si>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</si>
  <si>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</si>
  <si>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</si>
  <si>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</si>
  <si>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</si>
  <si>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</si>
  <si>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</si>
  <si>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</si>
  <si>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</si>
  <si>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</si>
  <si>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</si>
  <si>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</si>
  <si>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</si>
  <si>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</si>
  <si>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</si>
  <si>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</si>
  <si>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</si>
  <si>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</si>
  <si>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</si>
  <si>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</si>
  <si>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</si>
  <si>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</si>
  <si>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</si>
  <si>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</si>
  <si>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</si>
  <si>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</si>
  <si>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</si>
  <si>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</si>
  <si>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</si>
  <si>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</si>
  <si>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</si>
  <si>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</si>
  <si>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</si>
  <si>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</si>
  <si>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</si>
  <si>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</si>
  <si>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</si>
  <si>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</si>
  <si>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</si>
  <si>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</si>
  <si>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</si>
  <si>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</si>
  <si>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</si>
  <si>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</si>
  <si>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</si>
  <si>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</si>
  <si>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</si>
  <si>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</si>
  <si>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</si>
  <si>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</si>
  <si>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</si>
  <si>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</si>
  <si>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</si>
  <si>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</si>
  <si>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</si>
  <si>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</si>
  <si>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</si>
  <si>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</si>
  <si>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</si>
  <si>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</si>
  <si>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</si>
  <si>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</si>
  <si>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</si>
  <si>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</si>
  <si>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</si>
  <si>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</si>
  <si>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</si>
  <si>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</si>
  <si>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</si>
  <si>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</si>
  <si>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</si>
  <si>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</si>
  <si>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</si>
  <si>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</si>
  <si>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</si>
  <si>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</si>
  <si>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</si>
  <si>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</si>
  <si>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</si>
  <si>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</si>
  <si>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</si>
  <si>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</si>
  <si>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</si>
  <si>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</si>
  <si>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</si>
  <si>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</si>
  <si>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</si>
  <si>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</si>
  <si>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</si>
  <si>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</si>
  <si>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</si>
  <si>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</si>
  <si>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</si>
  <si>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</si>
  <si>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</si>
  <si>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</si>
  <si>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</si>
  <si>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</si>
  <si>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</si>
  <si>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</si>
  <si>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</si>
  <si>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</si>
  <si>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</si>
  <si>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</si>
  <si>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</si>
  <si>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</si>
  <si>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</si>
  <si>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</si>
  <si>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</si>
  <si>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</si>
  <si>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</si>
  <si>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</si>
  <si>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</si>
  <si>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</si>
  <si>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</si>
  <si>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</si>
  <si>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</si>
  <si>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</si>
  <si>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</si>
  <si>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</si>
  <si>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</si>
  <si>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</si>
  <si>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</si>
  <si>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</si>
  <si>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</si>
  <si>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</si>
  <si>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</si>
  <si>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</si>
  <si>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</si>
  <si>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</si>
  <si>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</si>
  <si>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</si>
  <si>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</si>
  <si>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</si>
  <si>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</si>
  <si>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</si>
  <si>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</si>
  <si>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</si>
  <si>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</si>
  <si>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</si>
  <si>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</si>
  <si>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</si>
  <si>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</si>
  <si>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</si>
  <si>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</si>
  <si>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</si>
  <si>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</si>
  <si>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</si>
  <si>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</si>
  <si>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</si>
  <si>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</si>
  <si>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</si>
  <si>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</si>
  <si>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</si>
  <si>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</si>
  <si>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</si>
  <si>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</si>
  <si>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</si>
  <si>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</si>
  <si>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</si>
  <si>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</si>
  <si>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</si>
  <si>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</si>
  <si>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</si>
  <si>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</si>
  <si>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</si>
  <si>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</si>
  <si>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</si>
  <si>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</si>
  <si>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</si>
  <si>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</si>
  <si>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</si>
  <si>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</si>
  <si>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</si>
  <si>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</si>
  <si>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</si>
  <si>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</si>
  <si>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</si>
  <si>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</si>
  <si>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</si>
  <si>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</si>
  <si>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</si>
  <si>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</si>
  <si>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</si>
  <si>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</si>
  <si>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</si>
  <si>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</si>
  <si>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</si>
  <si>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</si>
  <si>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</si>
  <si>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</si>
  <si>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</si>
  <si>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</si>
  <si>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</si>
  <si>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</si>
  <si>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</si>
  <si>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</si>
  <si>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</si>
  <si>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</si>
  <si>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</si>
  <si>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</si>
  <si>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</si>
  <si>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</si>
  <si>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</si>
  <si>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</si>
  <si>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</si>
  <si>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</si>
  <si>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</si>
  <si>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</si>
  <si>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</si>
  <si>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</si>
  <si>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</si>
  <si>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</si>
  <si>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</si>
  <si>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</si>
  <si>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</si>
  <si>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</si>
  <si>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</si>
  <si>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</si>
  <si>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</si>
  <si>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</si>
  <si>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</si>
  <si>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</si>
  <si>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</si>
  <si>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</si>
  <si>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</si>
  <si>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</si>
  <si>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</si>
  <si>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</si>
  <si>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</si>
  <si>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</si>
  <si>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</si>
  <si>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</si>
  <si>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</si>
  <si>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</si>
  <si>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</si>
  <si>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</si>
  <si>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</si>
  <si>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</si>
  <si>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</si>
  <si>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</si>
  <si>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</si>
  <si>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</si>
  <si>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</si>
  <si>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</si>
  <si>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</si>
  <si>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</si>
  <si>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</si>
  <si>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</si>
  <si>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</si>
  <si>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</si>
  <si>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</si>
  <si>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</si>
  <si>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</si>
  <si>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</si>
  <si>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</si>
  <si>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</si>
  <si>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</si>
  <si>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</si>
  <si>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</si>
  <si>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</si>
  <si>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</si>
  <si>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</si>
  <si>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</si>
  <si>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</si>
  <si>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</si>
  <si>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</si>
  <si>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</si>
  <si>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</si>
  <si>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</si>
  <si>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</si>
  <si>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</si>
  <si>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</si>
  <si>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</si>
  <si>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</si>
  <si>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</si>
  <si>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</si>
  <si>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</si>
  <si>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</si>
  <si>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</si>
  <si>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</si>
  <si>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</si>
  <si>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</si>
  <si>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</si>
  <si>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</si>
  <si>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</si>
  <si>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</si>
  <si>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</si>
  <si>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</si>
  <si>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</si>
  <si>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</si>
  <si>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</si>
  <si>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</si>
  <si>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</si>
  <si>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</si>
  <si>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</si>
  <si>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</si>
  <si>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</si>
  <si>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</si>
  <si>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</si>
  <si>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</si>
  <si>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</si>
  <si>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</si>
  <si>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</si>
  <si>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</si>
  <si>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</si>
  <si>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</si>
  <si>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</si>
  <si>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</si>
  <si>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</si>
  <si>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</si>
  <si>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</si>
  <si>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</si>
  <si>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</si>
  <si>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</si>
  <si>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</si>
  <si>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</si>
  <si>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</si>
  <si>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</si>
  <si>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</si>
  <si>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</si>
  <si>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</si>
  <si>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</si>
  <si>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</si>
  <si>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</si>
  <si>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</si>
  <si>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</si>
  <si>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</si>
  <si>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</si>
  <si>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</si>
  <si>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</si>
  <si>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</si>
  <si>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</si>
  <si>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</si>
  <si>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</si>
  <si>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</si>
  <si>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</si>
  <si>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</si>
  <si>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</si>
  <si>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</si>
  <si>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</si>
  <si>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</si>
  <si>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</si>
  <si>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</si>
  <si>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</si>
  <si>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</si>
  <si>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</si>
  <si>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</si>
  <si>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</si>
  <si>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</si>
  <si>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</si>
  <si>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</si>
  <si>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</si>
  <si>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</si>
  <si>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</si>
  <si>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</si>
  <si>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</si>
  <si>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</si>
  <si>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</si>
  <si>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</si>
  <si>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</si>
  <si>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</si>
  <si>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</si>
  <si>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</si>
  <si>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</si>
  <si>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</si>
  <si>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</si>
  <si>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</si>
  <si>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</si>
  <si>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</si>
  <si>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</si>
  <si>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</si>
  <si>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</si>
  <si>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</si>
  <si>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</si>
  <si>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</si>
  <si>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</si>
  <si>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</si>
  <si>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</si>
  <si>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</si>
  <si>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</si>
  <si>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</si>
  <si>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</si>
  <si>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</si>
  <si>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</si>
  <si>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</si>
  <si>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</si>
  <si>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</si>
  <si>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</si>
  <si>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</si>
  <si>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</si>
  <si>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</si>
  <si>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</si>
  <si>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</si>
  <si>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</si>
  <si>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</si>
  <si>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</si>
  <si>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</si>
  <si>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</si>
  <si>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</si>
  <si>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</si>
  <si>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</si>
  <si>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</si>
  <si>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</si>
  <si>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</si>
  <si>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</si>
  <si>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</si>
  <si>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</si>
  <si>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</si>
  <si>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</si>
  <si>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</si>
  <si>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</si>
  <si>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</si>
  <si>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</si>
  <si>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</si>
  <si>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</si>
  <si>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</si>
  <si>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</si>
  <si>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</si>
  <si>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</si>
  <si>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</si>
  <si>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</si>
  <si>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</si>
  <si>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</si>
  <si>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</si>
  <si>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</si>
  <si>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</si>
  <si>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</si>
  <si>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</si>
  <si>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</si>
  <si>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</si>
  <si>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</si>
  <si>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</si>
  <si>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</si>
  <si>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</si>
  <si>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</si>
  <si>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</si>
  <si>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</si>
  <si>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</si>
  <si>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</si>
  <si>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</si>
  <si>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</si>
  <si>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</si>
  <si>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</si>
  <si>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</si>
  <si>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</si>
  <si>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</si>
  <si>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</si>
  <si>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</si>
  <si>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</si>
  <si>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</si>
  <si>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</si>
  <si>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</si>
  <si>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</si>
  <si>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</si>
  <si>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</si>
  <si>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</si>
  <si>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</si>
  <si>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</si>
  <si>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</si>
  <si>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</si>
  <si>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</si>
  <si>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</si>
  <si>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</si>
  <si>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</si>
  <si>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</si>
  <si>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</si>
  <si>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</si>
  <si>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</si>
  <si>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</si>
  <si>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</si>
  <si>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</si>
  <si>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</si>
  <si>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</si>
  <si>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</si>
  <si>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</si>
  <si>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</si>
  <si>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</si>
  <si>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</si>
  <si>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</si>
  <si>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</si>
  <si>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</si>
  <si>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</si>
  <si>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</si>
  <si>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</si>
  <si>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</si>
  <si>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</si>
  <si>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</si>
  <si>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</si>
  <si>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</si>
  <si>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</si>
  <si>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</si>
  <si>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</si>
  <si>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</si>
  <si>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</si>
  <si>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</si>
  <si>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</si>
  <si>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</si>
  <si>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</si>
  <si>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</si>
  <si>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</si>
  <si>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</si>
  <si>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</si>
  <si>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</si>
  <si>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</si>
  <si>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</si>
  <si>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</si>
  <si>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</si>
  <si>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</si>
  <si>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</si>
  <si>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</si>
  <si>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</si>
  <si>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</si>
  <si>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</si>
  <si>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</si>
  <si>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</si>
  <si>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</si>
  <si>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</si>
  <si>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</si>
  <si>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</si>
  <si>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</si>
  <si>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</si>
  <si>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</si>
  <si>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</si>
  <si>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</si>
  <si>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</si>
  <si>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</si>
  <si>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</si>
  <si>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</si>
  <si>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</si>
  <si>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</si>
  <si>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</si>
  <si>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</si>
  <si>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</si>
  <si>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</si>
  <si>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</si>
  <si>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</si>
  <si>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</si>
  <si>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</si>
  <si>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</si>
  <si>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</si>
  <si>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</si>
  <si>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</si>
  <si>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</si>
  <si>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</si>
  <si>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</si>
  <si>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</si>
  <si>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</si>
  <si>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</si>
  <si>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</si>
  <si>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</si>
  <si>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</si>
  <si>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</si>
  <si>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</si>
  <si>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</si>
  <si>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</si>
  <si>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</si>
  <si>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</si>
  <si>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</si>
  <si>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</si>
  <si>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</si>
  <si>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</si>
  <si>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</si>
  <si>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</si>
  <si>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</si>
  <si>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</si>
  <si>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</si>
  <si>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</si>
  <si>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</si>
  <si>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</si>
  <si>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</si>
  <si>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</si>
  <si>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</si>
  <si>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</si>
  <si>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</si>
  <si>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</si>
  <si>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</si>
  <si>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</si>
  <si>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</si>
  <si>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</si>
  <si>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</si>
  <si>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</si>
  <si>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</si>
  <si>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</si>
  <si>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</si>
  <si>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</si>
  <si>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</si>
  <si>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</si>
  <si>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</si>
  <si>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</si>
  <si>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</si>
  <si>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</si>
  <si>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</si>
  <si>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</si>
  <si>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</si>
  <si>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</si>
  <si>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</si>
  <si>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</si>
  <si>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</si>
  <si>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</si>
  <si>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</si>
  <si>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</si>
  <si>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</si>
  <si>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</si>
  <si>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</si>
  <si>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</si>
  <si>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</si>
  <si>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</si>
  <si>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</si>
  <si>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</si>
  <si>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</si>
  <si>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</si>
  <si>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</si>
  <si>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</si>
  <si>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</si>
  <si>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</si>
  <si>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</si>
  <si>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</si>
  <si>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</si>
  <si>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</si>
  <si>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</si>
  <si>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</si>
  <si>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</si>
  <si>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</si>
  <si>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</si>
  <si>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</si>
  <si>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</si>
  <si>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</si>
  <si>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</si>
  <si>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</si>
  <si>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</si>
  <si>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</si>
  <si>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</si>
  <si>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</si>
  <si>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</si>
  <si>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</si>
  <si>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</si>
  <si>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</si>
  <si>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</si>
  <si>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</si>
  <si>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</si>
  <si>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</si>
  <si>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</si>
  <si>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</si>
  <si>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</si>
  <si>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</si>
  <si>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</si>
  <si>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</si>
  <si>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</si>
  <si>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</si>
  <si>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</si>
  <si>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</si>
  <si>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</si>
  <si>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</si>
  <si>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</si>
  <si>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</si>
  <si>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</si>
  <si>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</si>
  <si>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</si>
  <si>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</si>
  <si>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</si>
  <si>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</si>
  <si>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</si>
  <si>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</si>
  <si>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</si>
  <si>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</si>
  <si>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</si>
  <si>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</si>
  <si>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</si>
  <si>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</si>
  <si>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</si>
  <si>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</si>
  <si>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</si>
  <si>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</si>
  <si>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</si>
  <si>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</si>
  <si>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</si>
  <si>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</si>
  <si>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</si>
  <si>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</si>
  <si>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</si>
  <si>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</si>
  <si>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</si>
  <si>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</si>
  <si>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</si>
  <si>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</si>
  <si>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</si>
  <si>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</si>
  <si>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</si>
  <si>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</si>
  <si>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</si>
  <si>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</si>
  <si>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</si>
  <si>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</si>
  <si>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</si>
  <si>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</si>
  <si>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</si>
  <si>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</si>
  <si>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</si>
  <si>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</si>
  <si>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</si>
  <si>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</si>
  <si>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</si>
  <si>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</si>
  <si>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</si>
  <si>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</si>
  <si>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</si>
  <si>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</si>
  <si>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</si>
  <si>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</si>
  <si>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</si>
  <si>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</si>
  <si>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</si>
  <si>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</si>
  <si>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</si>
  <si>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</si>
  <si>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</si>
  <si>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</si>
  <si>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</si>
  <si>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</si>
  <si>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</si>
  <si>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</si>
  <si>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</si>
  <si>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</si>
  <si>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</si>
  <si>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</si>
  <si>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</si>
  <si>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</si>
  <si>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</si>
  <si>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</si>
  <si>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</si>
  <si>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</si>
  <si>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</si>
  <si>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</si>
  <si>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</si>
  <si>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</si>
  <si>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</si>
  <si>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</si>
  <si>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</si>
  <si>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</si>
  <si>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</si>
  <si>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</si>
  <si>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</si>
  <si>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</si>
  <si>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</si>
  <si>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</si>
  <si>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</si>
  <si>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</si>
  <si>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</si>
  <si>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</si>
  <si>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</si>
  <si>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</si>
  <si>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</si>
  <si>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</si>
  <si>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</si>
  <si>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</si>
  <si>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</si>
  <si>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</si>
  <si>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</si>
  <si>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</si>
  <si>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</si>
  <si>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</si>
  <si>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</si>
  <si>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</si>
  <si>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</si>
  <si>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</si>
  <si>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</si>
  <si>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</si>
  <si>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</si>
  <si>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</si>
  <si>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</si>
  <si>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</si>
  <si>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</si>
  <si>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</si>
  <si>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</si>
  <si>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</si>
  <si>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</si>
  <si>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</si>
  <si>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</si>
  <si>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</si>
  <si>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</si>
  <si>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</si>
  <si>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</si>
  <si>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</si>
  <si>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</si>
  <si>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</si>
  <si>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</si>
  <si>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</si>
  <si>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</si>
  <si>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</si>
  <si>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</si>
  <si>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</si>
  <si>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</si>
  <si>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</si>
  <si>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</si>
  <si>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</si>
  <si>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</si>
  <si>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</si>
  <si>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</si>
  <si>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</si>
  <si>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</si>
  <si>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</si>
  <si>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</si>
  <si>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</si>
  <si>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</si>
  <si>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</si>
  <si>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</si>
  <si>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</si>
  <si>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</si>
  <si>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</si>
  <si>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</si>
  <si>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</si>
  <si>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</si>
  <si>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</si>
  <si>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</si>
  <si>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</si>
  <si>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</si>
  <si>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</si>
  <si>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</si>
  <si>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</si>
  <si>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</si>
  <si>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</si>
  <si>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</si>
  <si>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</si>
  <si>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</si>
  <si>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</si>
  <si>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</si>
  <si>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</si>
  <si>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</si>
  <si>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</si>
  <si>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</si>
  <si>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</si>
  <si>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</si>
  <si>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</si>
  <si>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</si>
  <si>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</si>
  <si>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</si>
  <si>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</si>
  <si>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</si>
  <si>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</si>
  <si>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</si>
  <si>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</si>
  <si>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</si>
  <si>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</si>
  <si>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</si>
  <si>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</si>
  <si>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</si>
  <si>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</si>
  <si>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</si>
  <si>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</si>
  <si>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</si>
  <si>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</si>
  <si>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</si>
  <si>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</si>
  <si>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</si>
  <si>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</si>
  <si>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</si>
  <si>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</si>
  <si>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</si>
  <si>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</si>
  <si>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</si>
  <si>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</si>
  <si>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</si>
  <si>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</si>
  <si>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</si>
  <si>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</si>
  <si>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</si>
  <si>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</si>
  <si>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</si>
  <si>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</si>
  <si>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</si>
  <si>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</si>
  <si>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</si>
  <si>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</si>
  <si>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</si>
  <si>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</si>
  <si>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</si>
  <si>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</si>
  <si>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</si>
  <si>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</si>
  <si>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</si>
  <si>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</si>
  <si>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</si>
  <si>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</si>
  <si>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</si>
  <si>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</si>
  <si>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</si>
  <si>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</si>
  <si>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</si>
  <si>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</si>
  <si>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</si>
  <si>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</si>
  <si>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</si>
  <si>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</si>
  <si>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</si>
  <si>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</si>
  <si>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</si>
  <si>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</si>
  <si>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</si>
  <si>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</si>
  <si>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</si>
  <si>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</si>
  <si>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</si>
  <si>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</si>
  <si>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</si>
  <si>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</si>
  <si>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</si>
  <si>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</si>
  <si>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</si>
  <si>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</si>
  <si>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</si>
  <si>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</si>
  <si>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</si>
  <si>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</si>
  <si>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</si>
  <si>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</si>
  <si>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</si>
  <si>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</si>
  <si>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</si>
  <si>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</si>
  <si>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</si>
  <si>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</si>
  <si>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</si>
  <si>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</si>
  <si>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</si>
  <si>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</si>
  <si>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</si>
  <si>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</si>
  <si>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</si>
  <si>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</si>
  <si>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</si>
  <si>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</si>
  <si>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</si>
  <si>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</si>
  <si>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</si>
  <si>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</si>
  <si>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</si>
  <si>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</si>
  <si>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</si>
  <si>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</si>
  <si>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</si>
  <si>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</si>
  <si>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</si>
  <si>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</si>
  <si>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</si>
  <si>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</si>
  <si>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</si>
  <si>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</si>
  <si>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</si>
  <si>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</si>
  <si>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</si>
  <si>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</si>
  <si>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</si>
  <si>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</si>
  <si>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</si>
  <si>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</si>
  <si>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</si>
  <si>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</si>
  <si>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</si>
  <si>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</si>
  <si>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</si>
  <si>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</si>
  <si>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</si>
  <si>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</si>
  <si>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</si>
  <si>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</si>
  <si>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</si>
  <si>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</si>
  <si>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</si>
  <si>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</si>
  <si>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</si>
  <si>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</si>
  <si>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</si>
  <si>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</si>
  <si>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</si>
  <si>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</si>
  <si>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</si>
  <si>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</si>
  <si>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</si>
  <si>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</si>
  <si>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</si>
  <si>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</si>
  <si>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</si>
  <si>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</si>
  <si>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</si>
  <si>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</si>
  <si>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</si>
  <si>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</si>
  <si>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</si>
  <si>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</si>
  <si>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</si>
  <si>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</si>
  <si>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</si>
  <si>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</si>
  <si>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</si>
  <si>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</si>
  <si>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</si>
  <si>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</si>
  <si>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</si>
  <si>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</si>
  <si>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</si>
  <si>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</si>
  <si>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</si>
  <si>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</si>
  <si>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</si>
  <si>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</si>
  <si>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</si>
  <si>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</si>
  <si>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</si>
  <si>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</si>
  <si>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</si>
  <si>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</si>
  <si>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</si>
  <si>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</si>
  <si>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</si>
  <si>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</si>
  <si>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</si>
  <si>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</si>
  <si>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</si>
  <si>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</si>
  <si>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</si>
  <si>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</si>
  <si>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</si>
  <si>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</si>
  <si>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</si>
  <si>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</si>
  <si>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</si>
  <si>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</si>
  <si>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</si>
  <si>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</si>
  <si>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</si>
  <si>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</si>
  <si>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</si>
  <si>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</si>
  <si>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</si>
  <si>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</si>
  <si>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</si>
  <si>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</si>
  <si>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</si>
  <si>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</si>
  <si>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</si>
  <si>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</si>
  <si>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</si>
  <si>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</si>
  <si>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</si>
  <si>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</si>
  <si>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</si>
  <si>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</si>
  <si>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</si>
  <si>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</si>
  <si>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</si>
  <si>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</si>
  <si>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</si>
  <si>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</si>
  <si>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</si>
  <si>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</si>
  <si>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</si>
  <si>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</si>
  <si>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</si>
  <si>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</si>
  <si>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</si>
  <si>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</si>
  <si>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</si>
  <si>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</si>
  <si>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</si>
  <si>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</si>
  <si>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</si>
  <si>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</si>
  <si>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</si>
  <si>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</si>
  <si>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</si>
  <si>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</si>
  <si>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</si>
  <si>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</si>
  <si>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</si>
  <si>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</si>
  <si>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</si>
  <si>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</si>
  <si>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</si>
  <si>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</si>
  <si>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</si>
  <si>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</si>
  <si>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</si>
  <si>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</si>
  <si>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</si>
  <si>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</si>
  <si>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</si>
  <si>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</si>
  <si>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</si>
  <si>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</si>
  <si>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</si>
  <si>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</si>
  <si>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</si>
  <si>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</si>
  <si>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</si>
  <si>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</si>
  <si>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</si>
  <si>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</si>
  <si>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</si>
  <si>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</si>
  <si>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</si>
  <si>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</si>
  <si>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</si>
  <si>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</si>
  <si>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</si>
  <si>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</si>
  <si>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</si>
  <si>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</si>
  <si>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</si>
  <si>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</si>
  <si>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</si>
  <si>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</si>
  <si>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</si>
  <si>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</si>
  <si>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</si>
  <si>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</si>
  <si>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</si>
  <si>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</si>
  <si>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</si>
  <si>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</si>
  <si>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</si>
  <si>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</si>
  <si>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</si>
  <si>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</si>
  <si>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</si>
  <si>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</si>
  <si>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</si>
  <si>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</si>
  <si>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</si>
  <si>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</si>
  <si>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</si>
  <si>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</si>
  <si>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</si>
  <si>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</si>
  <si>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</si>
  <si>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</si>
  <si>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</si>
  <si>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</si>
  <si>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</si>
  <si>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</si>
  <si>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</si>
  <si>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</si>
  <si>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</si>
  <si>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</si>
  <si>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</si>
  <si>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</si>
  <si>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</si>
  <si>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</si>
  <si>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</si>
  <si>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</si>
  <si>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</si>
  <si>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</si>
  <si>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</si>
  <si>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</si>
  <si>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</si>
  <si>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</si>
  <si>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</si>
  <si>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</si>
  <si>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</si>
  <si>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</si>
  <si>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</si>
  <si>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</si>
  <si>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</si>
  <si>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</si>
  <si>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</si>
  <si>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</si>
  <si>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</si>
  <si>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</si>
  <si>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</si>
  <si>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</si>
  <si>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</si>
  <si>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</si>
  <si>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</si>
  <si>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</si>
  <si>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</si>
  <si>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</si>
  <si>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</si>
  <si>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</si>
  <si>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</si>
  <si>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</si>
  <si>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</si>
  <si>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</si>
  <si>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</si>
  <si>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</si>
  <si>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</si>
  <si>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</si>
  <si>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</si>
  <si>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</si>
  <si>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</si>
  <si>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</si>
  <si>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</si>
  <si>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</si>
  <si>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</si>
  <si>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</si>
  <si>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</si>
  <si>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</si>
  <si>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</si>
  <si>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</si>
  <si>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</si>
  <si>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</si>
  <si>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</si>
  <si>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</si>
  <si>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</si>
  <si>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</si>
  <si>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</si>
  <si>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</si>
  <si>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</si>
  <si>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</si>
  <si>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</si>
  <si>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</si>
  <si>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</si>
  <si>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</si>
  <si>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</si>
  <si>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</si>
  <si>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</si>
  <si>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</si>
  <si>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</si>
  <si>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</si>
  <si>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</si>
  <si>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</si>
  <si>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</si>
  <si>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</si>
  <si>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</si>
  <si>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</si>
  <si>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</si>
  <si>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</si>
  <si>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</si>
  <si>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</si>
  <si>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</si>
  <si>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</si>
  <si>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</si>
  <si>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</si>
  <si>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</si>
  <si>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</si>
  <si>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</si>
  <si>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</si>
  <si>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</si>
  <si>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</si>
  <si>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</si>
  <si>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</si>
  <si>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</si>
  <si>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</si>
  <si>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</si>
  <si>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</si>
  <si>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</si>
  <si>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</si>
  <si>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</si>
  <si>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</si>
  <si>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</si>
  <si>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</si>
  <si>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</si>
  <si>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</si>
  <si>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</si>
  <si>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</si>
  <si>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</si>
  <si>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</si>
  <si>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</si>
  <si>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</si>
  <si>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</si>
  <si>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</si>
  <si>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</si>
  <si>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</si>
  <si>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</si>
  <si>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</si>
  <si>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</si>
  <si>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</si>
  <si>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</si>
  <si>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</si>
  <si>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</si>
  <si>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</si>
  <si>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</si>
  <si>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</si>
  <si>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</si>
  <si>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</si>
  <si>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</si>
  <si>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</si>
  <si>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</si>
  <si>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</si>
  <si>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</si>
  <si>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</si>
  <si>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</si>
  <si>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</si>
  <si>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</si>
  <si>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</si>
  <si>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</si>
  <si>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</si>
  <si>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</si>
  <si>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</si>
  <si>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</si>
  <si>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</si>
  <si>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</si>
  <si>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</si>
  <si>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</si>
  <si>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</si>
  <si>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</si>
  <si>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</si>
  <si>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</si>
  <si>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</si>
  <si>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</si>
  <si>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</si>
  <si>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</si>
  <si>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</si>
  <si>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</si>
  <si>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</si>
  <si>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</si>
  <si>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</si>
  <si>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</si>
  <si>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</si>
  <si>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</si>
  <si>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</si>
  <si>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</si>
  <si>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</si>
  <si>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</si>
  <si>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</si>
  <si>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</si>
  <si>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</si>
  <si>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</si>
  <si>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</si>
  <si>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</si>
  <si>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</si>
  <si>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</si>
  <si>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</si>
  <si>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</si>
  <si>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</si>
  <si>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</si>
  <si>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</si>
  <si>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</si>
  <si>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</si>
  <si>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</si>
  <si>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</si>
  <si>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</si>
  <si>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</si>
  <si>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</si>
  <si>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</si>
  <si>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</si>
  <si>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</si>
  <si>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</si>
  <si>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</si>
  <si>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</si>
  <si>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</si>
  <si>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</si>
  <si>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</si>
  <si>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</si>
  <si>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</si>
  <si>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</si>
  <si>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</si>
  <si>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</si>
  <si>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</si>
  <si>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</si>
  <si>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</si>
  <si>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</si>
  <si>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</si>
  <si>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</si>
  <si>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</si>
  <si>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</si>
  <si>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</si>
  <si>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</si>
  <si>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</si>
  <si>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</si>
  <si>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</si>
  <si>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</si>
  <si>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</si>
  <si>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</si>
  <si>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</si>
  <si>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</si>
  <si>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</si>
  <si>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</si>
  <si>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</si>
  <si>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</si>
  <si>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</si>
  <si>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</si>
  <si>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</si>
  <si>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</si>
  <si>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</si>
  <si>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</si>
  <si>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</si>
  <si>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</si>
  <si>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</si>
  <si>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</si>
  <si>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</si>
  <si>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</si>
  <si>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</si>
  <si>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</si>
  <si>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</si>
  <si>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</si>
  <si>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</si>
  <si>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</si>
  <si>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</si>
  <si>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</si>
  <si>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</si>
  <si>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</si>
  <si>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</si>
  <si>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</si>
  <si>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</si>
  <si>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</si>
  <si>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</si>
  <si>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</si>
  <si>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</si>
  <si>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</si>
  <si>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</si>
  <si>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</si>
  <si>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</si>
  <si>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</si>
  <si>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</si>
  <si>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</si>
  <si>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</si>
  <si>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</si>
  <si>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</si>
  <si>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</si>
  <si>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</si>
  <si>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</si>
  <si>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</si>
  <si>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</si>
  <si>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</si>
  <si>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</si>
  <si>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</si>
  <si>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</si>
  <si>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</si>
  <si>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</si>
  <si>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</si>
  <si>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</si>
  <si>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</si>
  <si>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</si>
  <si>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</si>
  <si>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</si>
  <si>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</si>
  <si>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</si>
  <si>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</si>
  <si>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</si>
  <si>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</si>
  <si>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</si>
  <si>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</si>
  <si>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</si>
  <si>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</si>
  <si>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</si>
  <si>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</si>
  <si>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</si>
  <si>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</si>
  <si>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</si>
  <si>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</si>
  <si>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</si>
  <si>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</si>
  <si>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</si>
  <si>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</si>
  <si>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</si>
  <si>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</si>
  <si>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</si>
  <si>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</si>
  <si>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</si>
  <si>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</si>
  <si>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</si>
  <si>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</si>
  <si>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</si>
  <si>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</si>
  <si>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</si>
  <si>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</si>
  <si>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</si>
  <si>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</si>
  <si>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</si>
  <si>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</si>
  <si>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</si>
  <si>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</si>
  <si>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</si>
  <si>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</si>
  <si>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</si>
  <si>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</si>
  <si>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</si>
  <si>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</si>
  <si>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</si>
  <si>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</si>
  <si>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</si>
  <si>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</si>
  <si>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</si>
  <si>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</si>
  <si>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</si>
  <si>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</si>
  <si>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</si>
  <si>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</si>
  <si>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</si>
  <si>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</si>
  <si>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</si>
  <si>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</si>
  <si>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</si>
  <si>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</si>
  <si>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</si>
  <si>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</si>
  <si>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</si>
  <si>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</si>
  <si>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</si>
  <si>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</si>
  <si>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</si>
  <si>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</si>
  <si>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</si>
  <si>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</si>
  <si>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</si>
  <si>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</si>
  <si>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</si>
  <si>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</si>
  <si>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</si>
  <si>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</si>
  <si>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</si>
  <si>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</si>
  <si>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</si>
  <si>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</si>
  <si>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</si>
  <si>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</si>
  <si>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</si>
  <si>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</si>
  <si>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</si>
  <si>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</si>
  <si>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</si>
  <si>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</si>
  <si>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</si>
  <si>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</si>
  <si>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</si>
  <si>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</si>
  <si>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</si>
  <si>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</si>
  <si>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</si>
  <si>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</si>
  <si>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</si>
  <si>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</si>
  <si>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</si>
  <si>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</si>
  <si>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</si>
  <si>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</si>
  <si>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</si>
  <si>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</si>
  <si>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</si>
  <si>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</si>
  <si>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</si>
  <si>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</si>
  <si>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</si>
  <si>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</si>
  <si>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</si>
  <si>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</si>
  <si>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</si>
  <si>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</si>
  <si>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</si>
  <si>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</si>
  <si>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</si>
  <si>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</si>
  <si>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</si>
  <si>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</si>
  <si>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</si>
  <si>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</si>
  <si>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</si>
  <si>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</si>
  <si>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</si>
  <si>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</si>
  <si>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</si>
  <si>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</si>
  <si>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</si>
  <si>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</si>
  <si>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</si>
  <si>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</si>
  <si>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</si>
  <si>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</si>
  <si>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</si>
  <si>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</si>
  <si>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</si>
  <si>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</si>
  <si>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</si>
  <si>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</si>
  <si>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</si>
  <si>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</si>
  <si>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</si>
  <si>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</si>
  <si>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</si>
  <si>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</si>
  <si>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</si>
  <si>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</si>
  <si>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</si>
  <si>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</si>
  <si>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</si>
  <si>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</si>
  <si>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</si>
  <si>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</si>
  <si>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</si>
  <si>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</si>
  <si>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</si>
  <si>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</si>
  <si>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</si>
  <si>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</si>
  <si>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</si>
  <si>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</si>
  <si>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</si>
  <si>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</si>
  <si>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</si>
  <si>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</si>
  <si>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</si>
  <si>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</si>
  <si>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</si>
  <si>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</si>
  <si>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</si>
  <si>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</si>
  <si>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</si>
  <si>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</si>
  <si>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</si>
  <si>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</si>
  <si>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</si>
  <si>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</si>
  <si>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</si>
  <si>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</si>
  <si>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</si>
  <si>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</si>
  <si>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</si>
  <si>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</si>
  <si>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</si>
  <si>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</si>
  <si>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</si>
  <si>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</si>
  <si>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</si>
  <si>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</si>
  <si>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</si>
  <si>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</si>
  <si>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</si>
  <si>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</si>
  <si>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</si>
  <si>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</si>
  <si>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</si>
  <si>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</si>
  <si>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</si>
  <si>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</si>
  <si>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</si>
  <si>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</si>
  <si>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</si>
  <si>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</si>
  <si>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</si>
  <si>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</si>
  <si>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</si>
  <si>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</si>
  <si>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</si>
  <si>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</si>
  <si>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</si>
  <si>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</si>
  <si>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</si>
  <si>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</si>
  <si>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</si>
  <si>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</si>
  <si>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</si>
  <si>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</si>
  <si>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</si>
  <si>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</si>
  <si>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</si>
  <si>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</si>
  <si>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</si>
  <si>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</si>
  <si>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</si>
  <si>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</si>
  <si>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</si>
  <si>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</si>
  <si>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</si>
  <si>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</si>
  <si>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</si>
  <si>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</si>
  <si>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</si>
  <si>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</si>
  <si>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</si>
  <si>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</si>
  <si>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</si>
  <si>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</si>
  <si>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</si>
  <si>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</si>
  <si>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</si>
  <si>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</si>
  <si>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</si>
  <si>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</si>
  <si>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</si>
  <si>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</si>
  <si>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</si>
  <si>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</si>
  <si>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</si>
  <si>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</si>
  <si>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</si>
  <si>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</si>
  <si>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</si>
  <si>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</si>
  <si>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</si>
  <si>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</si>
  <si>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</si>
  <si>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</si>
  <si>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</si>
  <si>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</si>
  <si>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</si>
  <si>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</si>
  <si>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</si>
  <si>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</si>
  <si>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</si>
  <si>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</si>
  <si>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</si>
  <si>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</si>
  <si>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</si>
  <si>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</si>
  <si>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</si>
  <si>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</si>
  <si>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</si>
  <si>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</si>
  <si>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</si>
  <si>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</si>
  <si>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</si>
  <si>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</si>
  <si>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</si>
  <si>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</si>
  <si>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</si>
  <si>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</si>
  <si>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</si>
  <si>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</si>
  <si>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</si>
  <si>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</si>
  <si>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</si>
  <si>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</si>
  <si>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</si>
  <si>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</si>
  <si>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</si>
  <si>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</si>
  <si>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</si>
  <si>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</si>
  <si>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</si>
  <si>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</si>
  <si>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</si>
  <si>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</si>
  <si>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</si>
  <si>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</si>
  <si>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</si>
  <si>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</si>
  <si>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</si>
  <si>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</si>
  <si>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</si>
  <si>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</si>
  <si>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</si>
  <si>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</si>
  <si>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</si>
  <si>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</si>
  <si>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</si>
  <si>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</si>
  <si>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</si>
  <si>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</si>
  <si>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</si>
  <si>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</si>
  <si>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</si>
  <si>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</si>
  <si>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</si>
  <si>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</si>
  <si>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</si>
  <si>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</si>
  <si>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</si>
  <si>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</si>
  <si>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</si>
  <si>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</si>
  <si>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</si>
  <si>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</si>
  <si>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</si>
  <si>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</si>
  <si>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</si>
  <si>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</si>
  <si>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</si>
  <si>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</si>
  <si>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</si>
  <si>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</si>
  <si>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</si>
  <si>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</si>
  <si>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</si>
  <si>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</si>
  <si>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</si>
  <si>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</si>
  <si>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</si>
  <si>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</si>
  <si>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</si>
  <si>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</si>
  <si>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</si>
  <si>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</si>
  <si>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</si>
  <si>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</si>
  <si>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</si>
  <si>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</si>
  <si>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</si>
  <si>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</si>
  <si>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</si>
  <si>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</si>
  <si>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</si>
  <si>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</si>
  <si>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</si>
  <si>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</si>
  <si>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</si>
  <si>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</si>
  <si>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</si>
  <si>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</si>
  <si>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</si>
  <si>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</si>
  <si>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</si>
  <si>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</si>
  <si>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</si>
  <si>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</si>
  <si>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</si>
  <si>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</si>
  <si>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</si>
  <si>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</si>
  <si>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</si>
  <si>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</si>
  <si>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</si>
  <si>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</si>
  <si>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</si>
  <si>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</si>
  <si>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</si>
  <si>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</si>
  <si>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</si>
  <si>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</si>
  <si>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</si>
  <si>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</si>
  <si>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</si>
  <si>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</si>
  <si>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</si>
  <si>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</si>
  <si>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</si>
  <si>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</si>
  <si>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</si>
  <si>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</si>
  <si>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</si>
  <si>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</si>
  <si>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</si>
  <si>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</si>
  <si>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</si>
  <si>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</si>
  <si>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</si>
  <si>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</si>
  <si>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</si>
  <si>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</si>
  <si>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</si>
  <si>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</si>
  <si>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</si>
  <si>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</si>
  <si>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</si>
  <si>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</si>
  <si>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</si>
  <si>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</si>
  <si>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</si>
  <si>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</si>
  <si>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</si>
  <si>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</si>
  <si>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</si>
  <si>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</si>
  <si>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</si>
  <si>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</si>
  <si>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</si>
  <si>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</si>
  <si>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</si>
  <si>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</si>
  <si>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</si>
  <si>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</si>
  <si>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</si>
  <si>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</si>
  <si>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</si>
  <si>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</si>
  <si>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</si>
  <si>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</si>
  <si>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</si>
  <si>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</si>
  <si>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</si>
  <si>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</si>
  <si>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</si>
  <si>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</si>
  <si>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</si>
  <si>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</si>
  <si>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</si>
  <si>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</si>
  <si>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</si>
  <si>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</si>
  <si>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</si>
  <si>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</si>
  <si>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</si>
  <si>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</si>
  <si>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</si>
  <si>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</si>
  <si>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</si>
  <si>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</si>
  <si>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</si>
  <si>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</si>
  <si>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</si>
  <si>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</si>
  <si>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</si>
  <si>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</si>
  <si>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</si>
  <si>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</si>
  <si>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</si>
  <si>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</si>
  <si>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</si>
  <si>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</si>
  <si>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</si>
  <si>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</si>
  <si>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</si>
  <si>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</si>
  <si>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</si>
  <si>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</si>
  <si>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</si>
  <si>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</si>
  <si>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</si>
  <si>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</si>
  <si>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</si>
  <si>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</si>
  <si>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</si>
  <si>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</si>
  <si>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</si>
  <si>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</si>
  <si>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</si>
  <si>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</si>
  <si>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</si>
  <si>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</si>
  <si>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</si>
  <si>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</si>
  <si>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</si>
  <si>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</si>
  <si>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</si>
  <si>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</si>
  <si>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</si>
  <si>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</si>
  <si>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</si>
  <si>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</si>
  <si>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</si>
  <si>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</si>
  <si>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</si>
  <si>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</si>
  <si>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</si>
  <si>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</si>
  <si>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</si>
  <si>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</si>
  <si>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</si>
  <si>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</si>
  <si>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</si>
  <si>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</si>
  <si>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</si>
  <si>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</si>
  <si>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</si>
  <si>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</si>
  <si>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</si>
  <si>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</si>
  <si>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</si>
  <si>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</si>
  <si>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</si>
  <si>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</si>
  <si>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</si>
  <si>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</si>
  <si>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</si>
  <si>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</si>
  <si>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</si>
  <si>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</si>
  <si>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</si>
  <si>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</si>
  <si>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</si>
  <si>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</si>
  <si>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</si>
  <si>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</si>
  <si>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</si>
  <si>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</si>
  <si>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</si>
  <si>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</si>
  <si>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</si>
  <si>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</si>
  <si>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</si>
  <si>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</si>
  <si>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</si>
  <si>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</si>
  <si>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</si>
  <si>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</si>
  <si>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</si>
  <si>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</si>
  <si>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</si>
  <si>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</si>
  <si>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</si>
  <si>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</si>
  <si>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</si>
  <si>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</si>
  <si>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</si>
  <si>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</si>
  <si>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</si>
  <si>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</si>
  <si>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</si>
  <si>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</si>
  <si>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</si>
  <si>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</si>
  <si>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</si>
  <si>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</si>
  <si>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</si>
  <si>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</si>
  <si>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</si>
  <si>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</si>
  <si>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</si>
  <si>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</si>
  <si>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</si>
  <si>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</si>
  <si>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</si>
  <si>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</si>
  <si>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</si>
  <si>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</si>
  <si>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</si>
  <si>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</si>
  <si>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</si>
  <si>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</si>
  <si>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</si>
  <si>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</si>
  <si>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</si>
  <si>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</si>
  <si>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</si>
  <si>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</si>
  <si>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</si>
  <si>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</si>
  <si>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</si>
  <si>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</si>
  <si>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</si>
  <si>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</si>
  <si>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</si>
  <si>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</si>
  <si>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</si>
  <si>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</si>
  <si>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</si>
  <si>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</si>
  <si>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</si>
  <si>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</si>
  <si>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</si>
  <si>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</si>
  <si>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</si>
  <si>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</si>
  <si>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</si>
  <si>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</si>
  <si>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</si>
  <si>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</si>
  <si>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</si>
  <si>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</si>
  <si>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</si>
  <si>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</si>
  <si>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</si>
  <si>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</si>
  <si>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</si>
  <si>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</si>
  <si>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</si>
  <si>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</si>
  <si>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</si>
  <si>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</si>
  <si>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</si>
  <si>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</si>
  <si>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</si>
  <si>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</si>
  <si>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</si>
  <si>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</si>
  <si>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</si>
  <si>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</si>
  <si>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</si>
  <si>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</si>
  <si>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</si>
  <si>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</si>
  <si>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</si>
  <si>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</si>
  <si>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</si>
  <si>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</si>
  <si>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</si>
  <si>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</si>
  <si>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</si>
  <si>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</si>
  <si>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</si>
  <si>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</si>
  <si>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</si>
  <si>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</si>
  <si>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</si>
  <si>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</si>
  <si>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</si>
  <si>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</si>
  <si>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</si>
  <si>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</si>
  <si>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</si>
  <si>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</si>
  <si>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</si>
  <si>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</si>
  <si>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</si>
  <si>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</si>
  <si>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</si>
  <si>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</si>
  <si>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</si>
  <si>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</si>
  <si>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</si>
  <si>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</si>
  <si>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</si>
  <si>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</si>
  <si>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</si>
  <si>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</si>
  <si>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</si>
  <si>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</si>
  <si>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</si>
  <si>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</si>
  <si>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</si>
  <si>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</si>
  <si>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</si>
  <si>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</si>
  <si>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</si>
  <si>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</si>
  <si>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</si>
  <si>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</si>
  <si>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</si>
  <si>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</si>
  <si>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</si>
  <si>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</si>
  <si>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</si>
  <si>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</si>
  <si>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</si>
  <si>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</si>
  <si>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</si>
  <si>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</si>
  <si>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</si>
  <si>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</si>
  <si>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</si>
  <si>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</si>
  <si>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</si>
  <si>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</si>
  <si>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</si>
  <si>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</si>
  <si>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</si>
  <si>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</si>
  <si>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</si>
  <si>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</si>
  <si>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</si>
  <si>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</si>
  <si>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</si>
  <si>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</si>
  <si>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</si>
  <si>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</si>
  <si>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</si>
  <si>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</si>
  <si>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</si>
  <si>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</si>
  <si>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</si>
  <si>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</si>
  <si>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</si>
  <si>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</si>
  <si>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</si>
  <si>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</si>
  <si>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</si>
  <si>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</si>
  <si>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</si>
  <si>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</si>
  <si>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</si>
  <si>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</si>
  <si>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</si>
  <si>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</si>
  <si>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</si>
  <si>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</si>
  <si>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</si>
  <si>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</si>
  <si>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</si>
  <si>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</si>
  <si>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</si>
  <si>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</si>
  <si>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</si>
  <si>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</si>
  <si>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</si>
  <si>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</si>
  <si>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</si>
  <si>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</si>
  <si>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</si>
  <si>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</si>
  <si>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</si>
  <si>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</si>
  <si>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</si>
  <si>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</si>
  <si>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</si>
  <si>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</si>
  <si>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</si>
  <si>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</si>
  <si>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</si>
  <si>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</si>
  <si>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</si>
  <si>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</si>
  <si>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</si>
  <si>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</si>
  <si>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</si>
  <si>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</si>
  <si>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</si>
  <si>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</si>
  <si>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</si>
  <si>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</si>
  <si>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</si>
  <si>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</si>
  <si>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</si>
  <si>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</si>
  <si>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</si>
  <si>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</si>
  <si>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</si>
  <si>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</si>
  <si>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</si>
  <si>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</si>
  <si>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</si>
  <si>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</si>
  <si>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</si>
  <si>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</si>
  <si>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</si>
  <si>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</si>
  <si>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</si>
  <si>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</si>
  <si>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</si>
  <si>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</si>
  <si>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</si>
  <si>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</si>
  <si>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</si>
  <si>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</si>
  <si>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</si>
  <si>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</si>
  <si>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</si>
  <si>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</si>
  <si>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</si>
  <si>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</si>
  <si>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</si>
  <si>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</si>
  <si>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</si>
  <si>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</si>
  <si>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</si>
  <si>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</si>
  <si>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</si>
  <si>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</si>
  <si>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</si>
  <si>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</si>
  <si>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</si>
  <si>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</si>
  <si>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</si>
  <si>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</si>
  <si>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</si>
  <si>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</si>
  <si>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</si>
  <si>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</si>
  <si>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</si>
  <si>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</si>
  <si>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</si>
  <si>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</si>
  <si>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</si>
  <si>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</si>
  <si>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</si>
  <si>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</si>
  <si>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</si>
  <si>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</si>
  <si>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</si>
  <si>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</si>
  <si>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</si>
  <si>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</si>
  <si>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</si>
  <si>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</si>
  <si>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</si>
  <si>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</si>
  <si>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</si>
  <si>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</si>
  <si>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</si>
  <si>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</si>
  <si>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</si>
  <si>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</si>
  <si>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</si>
  <si>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</si>
  <si>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</si>
  <si>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</si>
  <si>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</si>
  <si>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</si>
  <si>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</si>
  <si>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</si>
  <si>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</si>
  <si>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</si>
  <si>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</si>
  <si>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</si>
  <si>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</si>
  <si>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</si>
  <si>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</si>
  <si>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</si>
  <si>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</si>
  <si>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</si>
  <si>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</si>
  <si>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</si>
  <si>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</si>
  <si>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</si>
  <si>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</si>
  <si>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</si>
  <si>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</si>
  <si>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</si>
  <si>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</si>
  <si>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</si>
  <si>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</si>
  <si>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</si>
  <si>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</si>
  <si>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</si>
  <si>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</si>
  <si>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</si>
  <si>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</si>
  <si>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</si>
  <si>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</si>
  <si>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</si>
  <si>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</si>
  <si>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</si>
  <si>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</si>
  <si>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</si>
  <si>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</si>
  <si>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</si>
  <si>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</si>
  <si>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</si>
  <si>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</si>
  <si>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</si>
  <si>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</si>
  <si>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</si>
  <si>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</si>
  <si>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</si>
  <si>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</si>
  <si>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</si>
  <si>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</si>
  <si>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</si>
  <si>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</si>
  <si>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</si>
  <si>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</si>
  <si>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</si>
  <si>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</si>
  <si>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</si>
  <si>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</si>
  <si>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</si>
  <si>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</si>
  <si>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</si>
  <si>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</si>
  <si>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</si>
  <si>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</si>
  <si>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</si>
  <si>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</si>
  <si>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</si>
  <si>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</si>
  <si>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</si>
  <si>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</si>
  <si>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</si>
  <si>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</si>
  <si>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</si>
  <si>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</si>
  <si>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</si>
  <si>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</si>
  <si>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</si>
  <si>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</si>
  <si>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</si>
  <si>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</si>
  <si>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</si>
  <si>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</si>
  <si>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</si>
  <si>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</si>
  <si>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</si>
  <si>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</si>
  <si>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</si>
  <si>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</si>
  <si>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</si>
  <si>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</si>
  <si>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</si>
  <si>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</si>
  <si>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</si>
  <si>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</si>
  <si>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</si>
  <si>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</si>
  <si>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</si>
  <si>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</si>
  <si>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</si>
  <si>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</si>
  <si>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</si>
  <si>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</si>
  <si>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</si>
  <si>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</si>
  <si>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</si>
  <si>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</si>
  <si>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</si>
  <si>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</si>
  <si>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</si>
  <si>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</si>
  <si>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</si>
  <si>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</si>
  <si>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</si>
  <si>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</si>
  <si>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</si>
  <si>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</si>
  <si>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</si>
  <si>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</si>
  <si>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</si>
  <si>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</si>
  <si>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</si>
  <si>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</si>
  <si>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</si>
  <si>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</si>
  <si>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</si>
  <si>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</si>
  <si>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</si>
  <si>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</si>
  <si>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</si>
  <si>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</si>
  <si>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</si>
  <si>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</si>
  <si>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</si>
  <si>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</si>
  <si>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</si>
  <si>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</si>
  <si>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</si>
  <si>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</si>
  <si>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</si>
  <si>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</si>
  <si>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</si>
  <si>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</si>
  <si>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</si>
  <si>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</si>
  <si>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</si>
  <si>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</si>
  <si>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</si>
  <si>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</si>
  <si>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</si>
  <si>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</si>
  <si>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</si>
  <si>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</si>
  <si>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</si>
  <si>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</si>
  <si>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</si>
  <si>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</si>
  <si>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</si>
  <si>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</si>
  <si>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</si>
  <si>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</si>
  <si>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</si>
  <si>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</si>
  <si>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</si>
  <si>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</si>
  <si>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</si>
  <si>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</si>
  <si>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</si>
  <si>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</si>
  <si>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</si>
  <si>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</si>
  <si>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</si>
  <si>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</si>
  <si>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</si>
  <si>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</si>
  <si>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</si>
  <si>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</si>
  <si>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</si>
  <si>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</si>
  <si>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</si>
  <si>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</si>
  <si>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</si>
  <si>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</si>
  <si>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</si>
  <si>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</si>
  <si>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</si>
  <si>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</si>
  <si>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</si>
  <si>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</si>
  <si>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</si>
  <si>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</si>
  <si>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</si>
  <si>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</si>
  <si>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</si>
  <si>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</si>
  <si>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</si>
  <si>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</si>
  <si>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</si>
  <si>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</si>
  <si>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</si>
  <si>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</si>
  <si>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</si>
  <si>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</si>
  <si>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</si>
  <si>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</si>
  <si>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</si>
  <si>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</si>
  <si>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</si>
  <si>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</si>
  <si>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</si>
  <si>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</si>
  <si>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</si>
  <si>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</si>
  <si>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</si>
  <si>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</si>
  <si>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</si>
  <si>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</si>
  <si>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</si>
  <si>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</si>
  <si>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</si>
  <si>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</si>
  <si>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</si>
  <si>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</si>
  <si>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</si>
  <si>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</si>
  <si>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</si>
  <si>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</si>
  <si>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</si>
  <si>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</si>
  <si>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</si>
  <si>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</si>
  <si>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</si>
  <si>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</si>
  <si>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</si>
  <si>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</si>
  <si>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</si>
  <si>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</si>
  <si>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</si>
  <si>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</si>
  <si>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</si>
  <si>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</si>
  <si>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</si>
  <si>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</si>
  <si>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</si>
  <si>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</si>
  <si>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</si>
  <si>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</si>
  <si>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</si>
  <si>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</si>
  <si>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</si>
  <si>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</si>
  <si>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</si>
  <si>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</si>
  <si>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</si>
  <si>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</si>
  <si>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</si>
  <si>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</si>
  <si>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</si>
  <si>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</si>
  <si>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</si>
  <si>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</si>
  <si>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</si>
  <si>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</si>
  <si>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</si>
  <si>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</si>
  <si>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</si>
  <si>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</si>
  <si>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</si>
  <si>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</si>
  <si>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</si>
  <si>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</si>
  <si>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</si>
  <si>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</si>
  <si>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</si>
  <si>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</si>
  <si>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</si>
  <si>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</si>
  <si>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</si>
  <si>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</si>
  <si>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</si>
  <si>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</si>
  <si>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</si>
  <si>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</si>
  <si>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</si>
  <si>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</si>
  <si>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</si>
  <si>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</si>
  <si>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</si>
  <si>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</si>
  <si>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</si>
  <si>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</si>
  <si>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</si>
  <si>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</si>
  <si>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</si>
  <si>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</si>
  <si>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</si>
  <si>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</si>
  <si>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</si>
  <si>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</si>
  <si>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</si>
  <si>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</si>
  <si>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</si>
  <si>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</si>
  <si>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</si>
  <si>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</si>
  <si>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</si>
  <si>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</si>
  <si>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</si>
  <si>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</si>
  <si>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</si>
  <si>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</si>
  <si>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</si>
  <si>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</si>
  <si>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</si>
  <si>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</si>
  <si>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</si>
  <si>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</si>
  <si>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</si>
  <si>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</si>
  <si>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</si>
  <si>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</si>
  <si>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</si>
  <si>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</si>
  <si>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</si>
  <si>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</si>
  <si>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</si>
  <si>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</si>
  <si>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</si>
  <si>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</si>
  <si>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</si>
  <si>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</si>
  <si>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</si>
  <si>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</si>
  <si>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</si>
  <si>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</si>
  <si>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</si>
  <si>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</si>
  <si>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</si>
  <si>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</si>
  <si>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</si>
  <si>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</si>
  <si>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</si>
  <si>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</si>
  <si>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</si>
  <si>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</si>
  <si>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</si>
  <si>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</si>
  <si>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</si>
  <si>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</si>
  <si>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</si>
  <si>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</si>
  <si>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</si>
  <si>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</si>
  <si>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</si>
  <si>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</si>
  <si>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</si>
  <si>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</si>
  <si>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</si>
  <si>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</si>
  <si>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</si>
  <si>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</si>
  <si>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</si>
  <si>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</si>
  <si>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</si>
  <si>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</si>
  <si>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</si>
  <si>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</si>
  <si>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</si>
  <si>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</si>
  <si>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</si>
  <si>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</si>
  <si>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</si>
  <si>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</si>
  <si>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</si>
  <si>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</si>
  <si>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</si>
  <si>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</si>
  <si>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</si>
  <si>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</si>
  <si>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</si>
  <si>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</si>
  <si>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</si>
  <si>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</si>
  <si>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</si>
  <si>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</si>
  <si>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</si>
  <si>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</si>
  <si>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</si>
  <si>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</si>
  <si>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</si>
  <si>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</si>
  <si>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</si>
  <si>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</si>
  <si>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</si>
  <si>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</si>
  <si>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</si>
  <si>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</si>
  <si>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</si>
  <si>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</si>
  <si>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</si>
  <si>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</si>
  <si>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</si>
  <si>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</si>
  <si>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</si>
  <si>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</si>
  <si>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</si>
  <si>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</si>
  <si>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</si>
  <si>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</si>
  <si>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</si>
  <si>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</si>
  <si>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</si>
  <si>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</si>
  <si>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</si>
  <si>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</si>
  <si>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</si>
  <si>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</si>
  <si>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</si>
  <si>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</si>
  <si>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</si>
  <si>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</si>
  <si>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</si>
  <si>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</si>
  <si>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</si>
  <si>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</si>
  <si>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</si>
  <si>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</si>
  <si>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</si>
  <si>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</si>
  <si>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</si>
  <si>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</si>
  <si>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</si>
  <si>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</si>
  <si>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</si>
  <si>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</si>
  <si>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</si>
  <si>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</si>
  <si>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</si>
  <si>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</si>
  <si>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</si>
  <si>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</si>
  <si>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</si>
  <si>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</si>
  <si>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</si>
  <si>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</si>
  <si>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</si>
  <si>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</si>
  <si>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</si>
  <si>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</si>
  <si>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</si>
  <si>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</si>
  <si>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</si>
  <si>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</si>
  <si>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</si>
  <si>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</si>
  <si>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</si>
  <si>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</si>
  <si>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</si>
  <si>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</si>
  <si>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</si>
  <si>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</si>
  <si>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</si>
  <si>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</si>
  <si>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</si>
  <si>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</si>
  <si>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</si>
  <si>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</si>
  <si>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</si>
  <si>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</si>
  <si>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</si>
  <si>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</si>
  <si>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</si>
  <si>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</si>
  <si>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</si>
  <si>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</si>
  <si>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</si>
  <si>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</si>
  <si>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</si>
  <si>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</si>
  <si>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</si>
  <si>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</si>
  <si>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</si>
  <si>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</si>
  <si>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</si>
  <si>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</si>
  <si>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</si>
  <si>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</si>
  <si>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</si>
  <si>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</si>
  <si>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</si>
  <si>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</si>
  <si>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</si>
  <si>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</si>
  <si>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</si>
  <si>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</si>
  <si>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</si>
  <si>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</si>
  <si>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</si>
  <si>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</si>
  <si>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</si>
  <si>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</si>
  <si>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</si>
  <si>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</si>
  <si>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</si>
  <si>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</si>
  <si>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</si>
  <si>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</si>
  <si>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</si>
  <si>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</si>
  <si>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</si>
  <si>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</si>
  <si>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</si>
  <si>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</si>
  <si>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</si>
  <si>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</si>
  <si>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</si>
  <si>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</si>
  <si>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</si>
  <si>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</si>
  <si>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</si>
  <si>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</si>
  <si>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</si>
  <si>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</si>
  <si>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</si>
  <si>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</si>
  <si>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</si>
  <si>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</si>
  <si>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</si>
  <si>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</si>
  <si>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</si>
  <si>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</si>
  <si>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</si>
  <si>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</si>
  <si>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</si>
  <si>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</si>
  <si>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</si>
  <si>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</si>
  <si>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</si>
  <si>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</si>
  <si>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</si>
  <si>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</si>
  <si>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</si>
  <si>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</si>
  <si>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</si>
  <si>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</si>
  <si>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</si>
  <si>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</si>
  <si>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</si>
  <si>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</si>
  <si>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</si>
  <si>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</si>
  <si>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</si>
  <si>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</si>
  <si>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</si>
  <si>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</si>
  <si>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</si>
  <si>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</si>
  <si>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</si>
  <si>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</si>
  <si>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</si>
  <si>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</si>
  <si>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</si>
  <si>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</si>
  <si>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</si>
  <si>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</si>
  <si>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</si>
  <si>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</si>
  <si>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</si>
  <si>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</si>
  <si>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</si>
  <si>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</si>
  <si>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</si>
  <si>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</si>
  <si>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</si>
  <si>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</si>
  <si>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</si>
  <si>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</si>
  <si>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</si>
  <si>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</si>
  <si>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</si>
  <si>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</si>
  <si>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</si>
  <si>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</si>
  <si>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</si>
  <si>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</si>
  <si>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</si>
  <si>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</si>
  <si>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</si>
  <si>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</si>
  <si>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</si>
  <si>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</si>
  <si>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</si>
  <si>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</si>
  <si>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</si>
  <si>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</si>
  <si>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</si>
  <si>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</si>
  <si>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</si>
  <si>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</si>
  <si>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</si>
  <si>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</si>
  <si>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</si>
  <si>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</si>
  <si>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</si>
  <si>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</si>
  <si>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</si>
  <si>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</si>
  <si>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</si>
  <si>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</si>
  <si>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</si>
  <si>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</si>
  <si>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</si>
  <si>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</si>
  <si>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</si>
  <si>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</si>
  <si>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</si>
  <si>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</si>
  <si>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</si>
  <si>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</si>
  <si>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</si>
  <si>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</si>
  <si>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</si>
  <si>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</si>
  <si>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</si>
  <si>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</si>
  <si>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</si>
  <si>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</si>
  <si>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</si>
  <si>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</si>
  <si>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</si>
  <si>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</si>
  <si>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</si>
  <si>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</si>
  <si>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</si>
  <si>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</si>
  <si>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</si>
  <si>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</si>
  <si>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</si>
  <si>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</si>
  <si>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</si>
  <si>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</si>
  <si>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</si>
  <si>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</si>
  <si>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</si>
  <si>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</si>
  <si>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</si>
  <si>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</si>
  <si>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</si>
  <si>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</si>
  <si>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</si>
  <si>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</si>
  <si>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</si>
  <si>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</si>
  <si>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</si>
  <si>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</si>
  <si>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</si>
  <si>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</si>
  <si>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</si>
  <si>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</si>
  <si>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</si>
  <si>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</si>
  <si>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</si>
  <si>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</si>
  <si>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</si>
  <si>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</si>
  <si>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</si>
  <si>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</si>
  <si>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</si>
  <si>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</si>
  <si>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</si>
  <si>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</si>
  <si>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</si>
  <si>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</si>
  <si>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</si>
  <si>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</si>
  <si>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</si>
  <si>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</si>
  <si>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</si>
  <si>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</si>
  <si>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</si>
  <si>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</si>
  <si>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</si>
  <si>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</si>
  <si>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</si>
  <si>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</si>
  <si>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</si>
  <si>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</si>
  <si>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</si>
  <si>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</si>
  <si>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</si>
  <si>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</si>
  <si>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</si>
  <si>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</si>
  <si>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</si>
  <si>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</si>
  <si>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</si>
  <si>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</si>
  <si>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</si>
  <si>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</si>
  <si>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</si>
  <si>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</si>
  <si>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</si>
  <si>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</si>
  <si>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</si>
  <si>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</si>
  <si>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</si>
  <si>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</si>
  <si>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</si>
  <si>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</si>
  <si>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</si>
  <si>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</si>
  <si>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</si>
  <si>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</si>
  <si>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</si>
  <si>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</si>
  <si>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</si>
  <si>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</si>
  <si>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</si>
  <si>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</si>
  <si>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</si>
  <si>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</si>
  <si>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</si>
  <si>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</si>
  <si>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</si>
  <si>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</si>
  <si>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</si>
  <si>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</si>
  <si>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</si>
  <si>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</si>
  <si>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</si>
  <si>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</si>
  <si>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</si>
  <si>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</si>
  <si>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</si>
  <si>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</si>
  <si>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</si>
  <si>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</si>
  <si>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</si>
  <si>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</si>
  <si>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</si>
  <si>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</si>
  <si>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</si>
  <si>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</si>
  <si>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</si>
  <si>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</si>
  <si>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</si>
  <si>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</si>
  <si>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</si>
  <si>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</si>
  <si>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</si>
  <si>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</si>
  <si>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</si>
  <si>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</si>
  <si>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</si>
  <si>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</si>
  <si>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</si>
  <si>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</si>
  <si>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</si>
  <si>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</si>
  <si>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</si>
  <si>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</si>
  <si>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</si>
  <si>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</si>
  <si>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</si>
  <si>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</si>
  <si>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</si>
  <si>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</si>
  <si>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</si>
  <si>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</si>
  <si>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</si>
  <si>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</si>
  <si>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</si>
  <si>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</si>
  <si>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</si>
  <si>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</si>
  <si>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</si>
  <si>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</si>
  <si>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</si>
  <si>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</si>
  <si>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</si>
  <si>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</si>
  <si>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</si>
  <si>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</si>
  <si>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</si>
  <si>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</si>
  <si>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</si>
  <si>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</si>
  <si>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</si>
  <si>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</si>
  <si>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</si>
  <si>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</si>
  <si>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</si>
  <si>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</si>
  <si>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</si>
  <si>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</si>
  <si>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</si>
  <si>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</si>
  <si>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</si>
  <si>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</si>
  <si>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</si>
  <si>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</si>
  <si>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</si>
  <si>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</si>
  <si>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</si>
  <si>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</si>
  <si>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</si>
  <si>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</si>
  <si>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</si>
  <si>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</si>
  <si>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</si>
  <si>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</si>
  <si>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</si>
  <si>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</si>
  <si>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</si>
  <si>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</si>
  <si>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</si>
  <si>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</si>
  <si>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</si>
  <si>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</si>
  <si>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</si>
  <si>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</si>
  <si>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</si>
  <si>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</si>
  <si>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</si>
  <si>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</si>
  <si>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</si>
  <si>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</si>
  <si>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</si>
  <si>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</si>
  <si>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</si>
  <si>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</si>
  <si>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</si>
  <si>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</si>
  <si>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</si>
  <si>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</si>
  <si>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</si>
  <si>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</si>
  <si>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</si>
  <si>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</si>
  <si>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</si>
  <si>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</si>
  <si>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</si>
  <si>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</si>
  <si>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</si>
  <si>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</si>
  <si>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</si>
  <si>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</si>
  <si>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</si>
  <si>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</si>
  <si>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</si>
  <si>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</si>
  <si>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</si>
  <si>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</si>
  <si>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</si>
  <si>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</si>
  <si>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</si>
  <si>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</si>
  <si>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</si>
  <si>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</si>
  <si>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</si>
  <si>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</si>
  <si>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</si>
  <si>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</si>
  <si>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</si>
  <si>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</si>
  <si>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</si>
  <si>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</si>
  <si>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</si>
  <si>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</si>
  <si>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</si>
  <si>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</si>
  <si>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</si>
  <si>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</si>
  <si>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</si>
  <si>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</si>
  <si>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</si>
  <si>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</si>
  <si>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</si>
  <si>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</si>
  <si>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</si>
  <si>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</si>
  <si>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</si>
  <si>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</si>
  <si>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</si>
  <si>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</si>
  <si>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</si>
  <si>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</si>
  <si>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</si>
  <si>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</si>
  <si>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</si>
  <si>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</si>
  <si>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</si>
  <si>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</si>
  <si>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</si>
  <si>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</si>
  <si>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</si>
  <si>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</si>
  <si>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</si>
  <si>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</si>
  <si>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</si>
  <si>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</si>
  <si>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</si>
  <si>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</si>
  <si>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</si>
  <si>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</si>
  <si>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</si>
  <si>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</si>
  <si>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</si>
  <si>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</si>
  <si>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</si>
  <si>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</si>
  <si>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</si>
  <si>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</si>
  <si>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</si>
  <si>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</si>
  <si>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</si>
  <si>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</si>
  <si>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</si>
  <si>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</si>
  <si>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</si>
  <si>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</si>
  <si>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</si>
  <si>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</si>
  <si>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</si>
  <si>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</si>
  <si>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</si>
  <si>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</si>
  <si>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</si>
  <si>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</si>
  <si>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</si>
  <si>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</si>
  <si>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</si>
  <si>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</si>
  <si>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</si>
  <si>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</si>
  <si>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</si>
  <si>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</si>
  <si>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</si>
  <si>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</si>
  <si>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</si>
  <si>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</si>
  <si>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</si>
  <si>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</si>
  <si>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</si>
  <si>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</si>
  <si>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</si>
  <si>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</si>
  <si>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</si>
  <si>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</si>
  <si>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</si>
  <si>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</si>
  <si>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</si>
  <si>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</si>
  <si>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</si>
  <si>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</si>
  <si>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</si>
  <si>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</si>
  <si>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</si>
  <si>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</si>
  <si>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</si>
  <si>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</si>
  <si>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</si>
  <si>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</si>
  <si>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</si>
  <si>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</si>
  <si>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</si>
  <si>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</si>
  <si>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</si>
  <si>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</si>
  <si>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</si>
  <si>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</si>
  <si>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</si>
  <si>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</si>
  <si>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</si>
  <si>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</si>
  <si>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</si>
  <si>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</si>
  <si>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</si>
  <si>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</si>
  <si>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</si>
  <si>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</si>
  <si>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</si>
  <si>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</si>
  <si>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</si>
  <si>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</si>
  <si>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</si>
  <si>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</si>
  <si>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</si>
  <si>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</si>
  <si>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</si>
  <si>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</si>
  <si>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</si>
  <si>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</si>
  <si>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</si>
  <si>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</si>
  <si>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</si>
  <si>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</si>
  <si>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</si>
  <si>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</si>
  <si>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</si>
  <si>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</si>
  <si>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</si>
  <si>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</si>
  <si>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</si>
  <si>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</si>
  <si>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</si>
  <si>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</si>
  <si>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</si>
  <si>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</si>
  <si>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</si>
  <si>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</si>
  <si>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</si>
  <si>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</si>
  <si>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</si>
  <si>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</si>
  <si>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</si>
  <si>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</si>
  <si>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</si>
  <si>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</si>
  <si>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</si>
  <si>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</si>
  <si>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</si>
  <si>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</si>
  <si>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</si>
  <si>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</si>
  <si>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</si>
  <si>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</si>
  <si>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</si>
  <si>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</si>
  <si>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</si>
  <si>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</si>
  <si>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</si>
  <si>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</si>
  <si>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</si>
  <si>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</si>
  <si>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</si>
  <si>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</si>
  <si>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</si>
  <si>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</si>
  <si>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</si>
  <si>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</si>
  <si>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</si>
  <si>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</si>
  <si>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</si>
  <si>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</si>
  <si>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</si>
  <si>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</si>
  <si>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</si>
  <si>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</si>
  <si>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</si>
  <si>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</si>
  <si>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</si>
  <si>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</si>
  <si>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</si>
  <si>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</si>
  <si>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</si>
  <si>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</si>
  <si>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</si>
  <si>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</si>
  <si>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</si>
  <si>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</si>
  <si>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</si>
  <si>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</si>
  <si>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</si>
  <si>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</si>
  <si>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</si>
  <si>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</si>
  <si>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</si>
  <si>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</si>
  <si>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</si>
  <si>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</si>
  <si>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</si>
  <si>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</si>
  <si>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</si>
  <si>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</si>
  <si>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</si>
  <si>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</si>
  <si>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</si>
  <si>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</si>
  <si>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</si>
  <si>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</si>
  <si>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</si>
  <si>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</si>
  <si>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</si>
  <si>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</si>
  <si>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</si>
  <si>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</si>
  <si>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</si>
  <si>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</si>
  <si>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</si>
  <si>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</si>
  <si>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</si>
  <si>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</si>
  <si>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</si>
  <si>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</si>
  <si>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</si>
  <si>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</si>
  <si>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</si>
  <si>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</si>
  <si>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</si>
  <si>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</si>
  <si>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</si>
  <si>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</si>
  <si>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</si>
  <si>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</si>
  <si>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</si>
  <si>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</si>
  <si>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</si>
  <si>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</si>
  <si>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</si>
  <si>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</si>
  <si>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</si>
  <si>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</si>
  <si>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</si>
  <si>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</si>
  <si>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</si>
  <si>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</si>
  <si>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</si>
  <si>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</si>
  <si>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</si>
  <si>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</si>
  <si>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</si>
  <si>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</si>
  <si>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</si>
  <si>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</si>
  <si>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</si>
  <si>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</si>
  <si>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</si>
  <si>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</si>
  <si>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</si>
  <si>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</si>
  <si>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</si>
  <si>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</si>
  <si>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</si>
  <si>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</si>
  <si>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</si>
  <si>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</si>
  <si>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</si>
  <si>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</si>
  <si>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</si>
  <si>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</si>
  <si>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</si>
  <si>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</si>
  <si>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</si>
  <si>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</si>
  <si>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</si>
  <si>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</si>
  <si>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</si>
  <si>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</si>
  <si>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</si>
  <si>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</si>
  <si>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</si>
  <si>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</si>
  <si>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</si>
  <si>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</si>
  <si>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</si>
  <si>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</si>
  <si>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</si>
  <si>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</si>
  <si>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</si>
  <si>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</si>
  <si>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</si>
  <si>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</si>
  <si>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</si>
  <si>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</si>
  <si>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</si>
  <si>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</si>
  <si>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</si>
  <si>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</si>
  <si>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</si>
  <si>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</si>
  <si>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</si>
  <si>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</si>
  <si>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</si>
  <si>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</si>
  <si>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</si>
  <si>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</si>
  <si>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</si>
  <si>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</si>
  <si>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</si>
  <si>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</si>
  <si>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</si>
  <si>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</si>
  <si>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</si>
  <si>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</si>
  <si>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</si>
  <si>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</si>
  <si>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</si>
  <si>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</si>
  <si>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</si>
  <si>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</si>
  <si>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</si>
  <si>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</si>
  <si>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</si>
  <si>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</si>
  <si>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</si>
  <si>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</si>
  <si>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</si>
  <si>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</si>
  <si>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</si>
  <si>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</si>
  <si>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</si>
  <si>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</si>
  <si>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</si>
  <si>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</si>
  <si>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</si>
  <si>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</si>
  <si>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</si>
  <si>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</si>
  <si>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</si>
  <si>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</si>
  <si>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</si>
  <si>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</si>
  <si>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</si>
  <si>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</si>
  <si>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</si>
  <si>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</si>
  <si>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</si>
  <si>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</si>
  <si>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</si>
  <si>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</si>
  <si>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</si>
  <si>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</si>
  <si>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</si>
  <si>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</si>
  <si>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</si>
  <si>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</si>
  <si>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</si>
  <si>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</si>
  <si>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</si>
  <si>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</si>
  <si>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</si>
  <si>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</si>
  <si>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</si>
  <si>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</si>
  <si>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</si>
  <si>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</si>
  <si>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</si>
  <si>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</si>
  <si>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</si>
  <si>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</si>
  <si>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</si>
  <si>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</si>
  <si>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</si>
  <si>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</si>
  <si>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</si>
  <si>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</si>
  <si>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</si>
  <si>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</si>
  <si>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</si>
  <si>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</si>
  <si>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</si>
  <si>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</si>
  <si>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</si>
  <si>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</si>
  <si>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</si>
  <si>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</si>
  <si>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</si>
  <si>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</si>
  <si>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</si>
  <si>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</si>
  <si>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</si>
  <si>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</si>
  <si>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</si>
  <si>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</si>
  <si>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</si>
  <si>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</si>
  <si>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</si>
  <si>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</si>
  <si>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</si>
  <si>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</si>
  <si>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</si>
  <si>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</si>
  <si>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</si>
  <si>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</si>
  <si>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</si>
  <si>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</si>
  <si>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</si>
  <si>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</si>
  <si>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</si>
  <si>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</si>
  <si>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</si>
  <si>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</si>
  <si>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</si>
  <si>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</si>
  <si>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</si>
  <si>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</si>
  <si>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</si>
  <si>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</si>
  <si>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</si>
  <si>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</si>
  <si>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</si>
  <si>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</si>
  <si>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</si>
  <si>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</si>
  <si>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</si>
  <si>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</si>
  <si>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</si>
  <si>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</si>
  <si>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</si>
  <si>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</si>
  <si>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</si>
  <si>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</si>
  <si>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</si>
  <si>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</si>
  <si>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</si>
  <si>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</si>
  <si>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</si>
  <si>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</si>
  <si>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</si>
  <si>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</si>
  <si>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</si>
  <si>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</si>
  <si>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</si>
  <si>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</si>
  <si>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</si>
  <si>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</si>
  <si>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</si>
  <si>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</si>
  <si>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</si>
  <si>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</si>
  <si>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</si>
  <si>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</si>
  <si>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</si>
  <si>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</si>
  <si>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</si>
  <si>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</si>
  <si>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</si>
  <si>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</si>
  <si>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</si>
  <si>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</si>
  <si>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</si>
  <si>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</si>
  <si>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</si>
  <si>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</si>
  <si>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</si>
  <si>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</si>
  <si>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</si>
  <si>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</si>
  <si>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</si>
  <si>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</si>
  <si>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</si>
  <si>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</si>
  <si>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</si>
  <si>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</si>
  <si>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</si>
  <si>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</si>
  <si>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</si>
  <si>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</si>
  <si>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</si>
  <si>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</si>
  <si>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</si>
  <si>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</si>
  <si>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</si>
  <si>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</si>
  <si>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</si>
  <si>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</si>
  <si>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</si>
  <si>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</si>
  <si>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</si>
  <si>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</si>
  <si>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</si>
  <si>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</si>
  <si>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</si>
  <si>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</si>
  <si>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</si>
  <si>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</si>
  <si>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</si>
  <si>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</si>
  <si>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</si>
  <si>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</si>
  <si>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</si>
  <si>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</si>
  <si>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</si>
  <si>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</si>
  <si>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</si>
  <si>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</si>
  <si>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</si>
  <si>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</si>
  <si>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</si>
  <si>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</si>
  <si>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</si>
  <si>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</si>
  <si>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</si>
  <si>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</si>
  <si>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</si>
  <si>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</si>
  <si>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</si>
  <si>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</si>
  <si>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</si>
  <si>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</si>
  <si>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</si>
  <si>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</si>
  <si>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</si>
  <si>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</si>
  <si>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</si>
  <si>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</si>
  <si>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</si>
  <si>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</si>
  <si>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</si>
  <si>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</si>
  <si>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</si>
  <si>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</si>
  <si>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</si>
  <si>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</si>
  <si>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</si>
  <si>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</si>
  <si>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</si>
  <si>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</si>
  <si>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</si>
  <si>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</si>
  <si>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</si>
  <si>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</si>
  <si>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</si>
  <si>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</si>
  <si>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</si>
  <si>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</si>
  <si>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</si>
  <si>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</si>
  <si>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</si>
  <si>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</si>
  <si>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</si>
  <si>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</si>
  <si>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</si>
  <si>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</si>
  <si>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</si>
  <si>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</si>
  <si>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</si>
  <si>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</si>
  <si>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</si>
  <si>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</si>
  <si>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</si>
  <si>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</si>
  <si>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</si>
  <si>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</si>
  <si>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</si>
  <si>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</si>
  <si>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</si>
  <si>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</si>
  <si>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</si>
  <si>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</si>
  <si>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</si>
  <si>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</si>
  <si>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</si>
  <si>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</si>
  <si>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</si>
  <si>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</si>
  <si>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</si>
  <si>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</si>
  <si>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</si>
  <si>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</si>
  <si>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</si>
  <si>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</si>
  <si>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</si>
  <si>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</si>
  <si>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</si>
  <si>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</si>
  <si>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</si>
  <si>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</si>
  <si>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</si>
  <si>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</si>
  <si>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</si>
  <si>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</si>
  <si>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</si>
  <si>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</si>
  <si>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</si>
  <si>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</si>
  <si>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</si>
  <si>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</si>
  <si>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</si>
  <si>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</si>
  <si>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</si>
  <si>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</si>
  <si>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</si>
  <si>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</si>
  <si>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</si>
  <si>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</si>
  <si>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</si>
  <si>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</si>
  <si>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</si>
  <si>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</si>
  <si>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</si>
  <si>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</si>
  <si>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</si>
  <si>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</si>
  <si>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</si>
  <si>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</si>
  <si>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</si>
  <si>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</si>
  <si>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</si>
  <si>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</si>
  <si>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</si>
  <si>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</si>
  <si>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</si>
  <si>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</si>
  <si>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</si>
  <si>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</si>
  <si>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</si>
  <si>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</si>
  <si>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</si>
  <si>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</si>
  <si>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</si>
  <si>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</si>
  <si>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</si>
  <si>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</si>
  <si>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</si>
  <si>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</si>
  <si>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</si>
  <si>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</si>
  <si>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</si>
  <si>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</si>
  <si>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</si>
  <si>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</si>
  <si>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</si>
  <si>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</si>
  <si>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</si>
  <si>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</si>
  <si>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</si>
  <si>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</si>
  <si>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</si>
  <si>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</si>
  <si>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</si>
  <si>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</si>
  <si>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</si>
  <si>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</si>
  <si>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</si>
  <si>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</si>
  <si>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</si>
  <si>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</si>
  <si>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</si>
  <si>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</si>
  <si>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</si>
  <si>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</si>
  <si>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</si>
  <si>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</si>
  <si>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</si>
  <si>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</si>
  <si>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</si>
  <si>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</si>
  <si>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</si>
  <si>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</si>
  <si>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</si>
  <si>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</si>
  <si>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</si>
  <si>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</si>
  <si>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</si>
  <si>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</si>
  <si>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</si>
  <si>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</si>
  <si>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</si>
  <si>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</si>
  <si>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</si>
  <si>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</si>
  <si>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</si>
  <si>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</si>
  <si>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</si>
  <si>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</si>
  <si>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</si>
  <si>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</si>
  <si>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</si>
  <si>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</si>
  <si>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</si>
  <si>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</si>
  <si>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</si>
  <si>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</si>
  <si>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</si>
  <si>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</si>
  <si>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</si>
  <si>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</si>
  <si>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</si>
  <si>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</si>
  <si>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</si>
  <si>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</si>
  <si>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</si>
  <si>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</si>
  <si>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</si>
  <si>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</si>
  <si>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</si>
  <si>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</si>
  <si>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</si>
  <si>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</si>
  <si>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</si>
  <si>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</si>
  <si>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</si>
  <si>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</si>
  <si>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</si>
  <si>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</si>
  <si>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</si>
  <si>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</si>
  <si>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</si>
  <si>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</si>
  <si>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</si>
  <si>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</si>
  <si>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</si>
  <si>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</si>
  <si>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</si>
  <si>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</si>
  <si>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</si>
  <si>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</si>
  <si>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</si>
  <si>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</si>
  <si>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</si>
  <si>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</si>
  <si>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</si>
  <si>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</si>
  <si>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</si>
  <si>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</si>
  <si>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</si>
  <si>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</si>
  <si>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</si>
  <si>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</si>
  <si>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</si>
  <si>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</si>
  <si>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</si>
  <si>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</si>
  <si>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</si>
  <si>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</si>
  <si>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</si>
  <si>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</si>
  <si>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</si>
  <si>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</si>
  <si>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</si>
  <si>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</si>
  <si>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</si>
  <si>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</si>
  <si>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</si>
  <si>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</si>
  <si>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</si>
  <si>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</si>
  <si>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</si>
  <si>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</si>
  <si>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</si>
  <si>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</si>
  <si>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</si>
  <si>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</si>
  <si>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</si>
  <si>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</si>
  <si>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</si>
  <si>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</si>
  <si>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</si>
  <si>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</si>
  <si>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</si>
  <si>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</si>
  <si>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</si>
  <si>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</si>
  <si>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</si>
  <si>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</si>
  <si>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</si>
  <si>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</si>
  <si>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</si>
  <si>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</si>
  <si>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</si>
  <si>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</si>
  <si>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</si>
  <si>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</si>
  <si>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</si>
  <si>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</si>
  <si>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</si>
  <si>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</si>
  <si>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</si>
  <si>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</si>
  <si>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</si>
  <si>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</si>
  <si>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</si>
  <si>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</si>
  <si>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</si>
  <si>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</si>
  <si>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</si>
  <si>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</si>
  <si>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</si>
  <si>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</si>
  <si>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</si>
  <si>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</si>
  <si>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</si>
  <si>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</si>
  <si>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</si>
  <si>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</si>
  <si>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</si>
  <si>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</si>
  <si>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</si>
  <si>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</si>
  <si>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</si>
  <si>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</si>
  <si>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</si>
  <si>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</si>
  <si>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</si>
  <si>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</si>
  <si>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</si>
  <si>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</si>
  <si>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</si>
  <si>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</si>
  <si>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</si>
  <si>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</si>
  <si>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</si>
  <si>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</si>
  <si>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</si>
  <si>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</si>
  <si>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</si>
  <si>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</si>
  <si>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</si>
  <si>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</si>
  <si>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</si>
  <si>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</si>
  <si>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</si>
  <si>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</si>
  <si>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</si>
  <si>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</si>
  <si>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</si>
  <si>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</si>
  <si>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</si>
  <si>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</si>
  <si>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</si>
  <si>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</si>
  <si>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</si>
  <si>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</si>
  <si>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</si>
  <si>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</si>
  <si>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</si>
  <si>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</si>
  <si>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</si>
  <si>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</si>
  <si>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</si>
  <si>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</si>
  <si>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</si>
  <si>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</si>
  <si>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</si>
  <si>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</si>
  <si>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</si>
  <si>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</si>
  <si>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</si>
  <si>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</si>
  <si>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</si>
  <si>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</si>
  <si>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</si>
  <si>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</si>
  <si>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</si>
  <si>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</si>
  <si>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</si>
  <si>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</si>
  <si>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</si>
  <si>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</si>
  <si>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</si>
  <si>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</si>
  <si>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</si>
  <si>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</si>
  <si>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</si>
  <si>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</si>
  <si>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</si>
  <si>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</si>
  <si>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</si>
  <si>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</si>
  <si>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</si>
  <si>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</si>
  <si>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</si>
  <si>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</si>
  <si>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</si>
  <si>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</si>
  <si>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</si>
  <si>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</si>
  <si>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</si>
  <si>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</si>
  <si>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</si>
  <si>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</si>
  <si>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</si>
  <si>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</si>
  <si>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</si>
  <si>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</si>
  <si>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</si>
  <si>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</si>
  <si>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</si>
  <si>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</si>
  <si>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</si>
  <si>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</si>
  <si>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</si>
  <si>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</si>
  <si>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</si>
  <si>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</si>
  <si>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</si>
  <si>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</si>
  <si>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</si>
  <si>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</si>
  <si>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</si>
  <si>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</si>
  <si>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</si>
  <si>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</si>
  <si>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</si>
  <si>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</si>
  <si>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</si>
  <si>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</si>
  <si>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</si>
  <si>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</si>
  <si>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</si>
  <si>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</si>
  <si>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</si>
  <si>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</si>
  <si>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</si>
  <si>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</si>
  <si>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</si>
  <si>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</si>
  <si>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</si>
  <si>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</si>
  <si>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</si>
  <si>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</si>
  <si>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</si>
  <si>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</si>
  <si>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</si>
  <si>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</si>
  <si>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</si>
  <si>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</si>
  <si>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</si>
  <si>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</si>
  <si>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</si>
  <si>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</si>
  <si>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</si>
  <si>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</si>
  <si>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</si>
  <si>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</si>
  <si>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</si>
  <si>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</si>
  <si>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</si>
  <si>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</si>
  <si>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</si>
  <si>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</si>
  <si>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</si>
  <si>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</si>
  <si>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</si>
  <si>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</si>
  <si>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</si>
  <si>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</si>
  <si>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</si>
  <si>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</si>
  <si>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</si>
  <si>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</si>
  <si>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</si>
  <si>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</si>
  <si>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</si>
  <si>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</si>
  <si>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</si>
  <si>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</si>
  <si>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</si>
  <si>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</si>
  <si>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</si>
  <si>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</si>
  <si>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</si>
  <si>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</si>
  <si>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</si>
  <si>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</si>
  <si>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</si>
  <si>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</si>
  <si>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</si>
  <si>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</si>
  <si>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</si>
  <si>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</si>
  <si>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</si>
  <si>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</si>
  <si>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</si>
  <si>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</si>
  <si>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</si>
  <si>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</si>
  <si>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</si>
  <si>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</si>
  <si>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</si>
  <si>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</si>
  <si>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</si>
  <si>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</si>
  <si>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</si>
  <si>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</si>
  <si>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</si>
  <si>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</si>
  <si>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</si>
  <si>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</si>
  <si>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</si>
  <si>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</si>
  <si>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</si>
  <si>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</si>
  <si>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</si>
  <si>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</si>
  <si>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</si>
  <si>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</si>
  <si>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</si>
  <si>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</si>
  <si>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</si>
  <si>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</si>
  <si>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</si>
  <si>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</si>
  <si>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</si>
  <si>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</si>
  <si>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</si>
  <si>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</si>
  <si>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</si>
  <si>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</si>
  <si>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</si>
  <si>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</si>
  <si>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</si>
  <si>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</si>
  <si>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</si>
  <si>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</si>
  <si>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</si>
  <si>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</si>
  <si>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</si>
  <si>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</si>
  <si>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</si>
  <si>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</si>
  <si>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</si>
  <si>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</si>
  <si>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</si>
  <si>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</si>
  <si>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</si>
  <si>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</si>
  <si>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</si>
  <si>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</si>
  <si>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</si>
  <si>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</si>
  <si>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</si>
  <si>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</si>
  <si>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</si>
  <si>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</si>
  <si>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</si>
  <si>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</si>
  <si>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</si>
  <si>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</si>
  <si>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</si>
  <si>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</si>
  <si>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</si>
  <si>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</si>
  <si>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</si>
  <si>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</si>
  <si>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</si>
  <si>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</si>
  <si>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</si>
  <si>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</si>
  <si>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</si>
  <si>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</si>
  <si>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</si>
  <si>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</si>
  <si>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</si>
  <si>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</si>
  <si>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</si>
  <si>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</si>
  <si>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</si>
  <si>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</si>
  <si>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</si>
  <si>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</si>
  <si>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</si>
  <si>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</si>
  <si>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</si>
  <si>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</si>
  <si>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</si>
  <si>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</si>
  <si>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</si>
  <si>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</si>
  <si>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</si>
  <si>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</si>
  <si>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</si>
  <si>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</si>
  <si>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</si>
  <si>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</si>
  <si>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</si>
  <si>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</si>
  <si>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</si>
  <si>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</si>
  <si>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</si>
  <si>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</si>
  <si>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</si>
  <si>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</si>
  <si>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</si>
  <si>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</si>
  <si>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</si>
  <si>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</si>
  <si>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</si>
  <si>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</si>
  <si>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</si>
  <si>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</si>
  <si>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</si>
  <si>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</si>
  <si>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</si>
  <si>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</si>
  <si>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</si>
  <si>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</si>
  <si>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</si>
  <si>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</si>
  <si>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</si>
  <si>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</si>
  <si>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</si>
  <si>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</si>
  <si>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</si>
  <si>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</si>
  <si>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</si>
  <si>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</si>
  <si>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</si>
  <si>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</si>
  <si>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</si>
  <si>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</si>
  <si>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</si>
  <si>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</si>
  <si>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</si>
  <si>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</si>
  <si>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</si>
  <si>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</si>
  <si>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</si>
  <si>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</si>
  <si>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</si>
  <si>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</si>
  <si>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</si>
  <si>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</si>
  <si>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</si>
  <si>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</si>
  <si>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</si>
  <si>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</si>
  <si>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</si>
  <si>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</si>
  <si>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</si>
  <si>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</si>
  <si>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</si>
  <si>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</si>
  <si>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</si>
  <si>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</si>
  <si>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</si>
  <si>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</si>
  <si>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</si>
  <si>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</si>
  <si>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</si>
  <si>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</si>
  <si>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</si>
  <si>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</si>
  <si>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</si>
  <si>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</si>
  <si>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</si>
  <si>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</si>
  <si>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</si>
  <si>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</si>
  <si>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</si>
  <si>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</si>
  <si>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</si>
  <si>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</si>
  <si>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</si>
  <si>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</si>
  <si>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</si>
  <si>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</si>
  <si>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</si>
  <si>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</si>
  <si>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</si>
  <si>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</si>
  <si>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</si>
  <si>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</si>
  <si>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</si>
  <si>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</si>
  <si>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</si>
  <si>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</si>
  <si>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</si>
  <si>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</si>
  <si>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</si>
  <si>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</si>
  <si>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</si>
  <si>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</si>
  <si>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</si>
  <si>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</si>
  <si>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</si>
  <si>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</si>
  <si>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</si>
  <si>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</si>
  <si>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</si>
  <si>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</si>
  <si>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</si>
  <si>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</si>
  <si>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</si>
  <si>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</si>
  <si>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</si>
  <si>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</si>
  <si>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</si>
  <si>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</si>
  <si>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</si>
  <si>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</si>
  <si>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</si>
  <si>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</si>
  <si>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</si>
  <si>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</si>
  <si>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</si>
  <si>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</si>
  <si>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</si>
  <si>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</si>
  <si>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</si>
  <si>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</si>
  <si>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</si>
  <si>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</si>
  <si>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</si>
  <si>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</si>
  <si>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</si>
  <si>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</si>
  <si>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</si>
  <si>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</si>
  <si>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</si>
  <si>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</si>
  <si>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</si>
  <si>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</si>
  <si>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</si>
  <si>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</si>
  <si>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</si>
  <si>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</si>
  <si>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</si>
  <si>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</si>
  <si>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</si>
  <si>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</si>
  <si>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</si>
  <si>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</si>
  <si>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</si>
  <si>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</si>
  <si>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</si>
  <si>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</si>
  <si>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</si>
  <si>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</si>
  <si>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</si>
  <si>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</si>
  <si>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</si>
  <si>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</si>
  <si>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</si>
  <si>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</si>
  <si>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</si>
  <si>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</si>
  <si>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</si>
  <si>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</si>
  <si>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</si>
  <si>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</si>
  <si>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</si>
  <si>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</si>
  <si>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</si>
  <si>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</si>
  <si>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</si>
  <si>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</si>
  <si>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</si>
  <si>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</si>
  <si>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</si>
  <si>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</si>
  <si>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</si>
  <si>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</si>
  <si>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</si>
  <si>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</si>
  <si>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</si>
  <si>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</si>
  <si>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</si>
  <si>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</si>
  <si>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</si>
  <si>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</si>
  <si>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</si>
  <si>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</si>
  <si>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</si>
  <si>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</si>
  <si>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</si>
  <si>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</si>
  <si>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</si>
  <si>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</si>
  <si>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</si>
  <si>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</si>
  <si>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</si>
  <si>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</si>
  <si>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</si>
  <si>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</si>
  <si>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</si>
  <si>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</si>
  <si>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</si>
  <si>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</si>
  <si>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</si>
  <si>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</si>
  <si>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</si>
  <si>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</si>
  <si>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</si>
  <si>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</si>
  <si>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</si>
  <si>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</si>
  <si>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</si>
  <si>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</si>
  <si>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</si>
  <si>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</si>
  <si>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</si>
  <si>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</si>
  <si>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</si>
  <si>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</si>
  <si>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</si>
  <si>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</si>
  <si>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</si>
  <si>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</si>
  <si>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</si>
  <si>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</si>
  <si>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</si>
  <si>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</si>
  <si>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</si>
  <si>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</si>
  <si>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</si>
  <si>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</si>
  <si>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</si>
  <si>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</si>
  <si>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</si>
  <si>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</si>
  <si>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</si>
  <si>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</si>
  <si>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</si>
  <si>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</si>
  <si>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</si>
  <si>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</si>
  <si>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</si>
  <si>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</si>
  <si>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</si>
  <si>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</si>
  <si>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</si>
  <si>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</si>
  <si>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</si>
  <si>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</si>
  <si>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</si>
  <si>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</si>
  <si>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</si>
  <si>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</si>
  <si>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</si>
  <si>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</si>
  <si>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</si>
  <si>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</si>
  <si>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</si>
  <si>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</si>
  <si>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</si>
  <si>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</si>
  <si>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</si>
  <si>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</si>
  <si>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</si>
  <si>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</si>
  <si>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</si>
  <si>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</si>
  <si>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</si>
  <si>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</si>
  <si>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</si>
  <si>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</si>
  <si>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</si>
  <si>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</si>
  <si>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</si>
  <si>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</si>
  <si>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</si>
  <si>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</si>
  <si>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</si>
  <si>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</si>
  <si>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</si>
  <si>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</si>
  <si>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</si>
  <si>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</si>
  <si>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</si>
  <si>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</si>
  <si>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</si>
  <si>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</si>
  <si>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</si>
  <si>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</si>
  <si>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</si>
  <si>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</si>
  <si>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</si>
  <si>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</si>
  <si>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</si>
  <si>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</si>
  <si>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</si>
  <si>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</si>
  <si>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</si>
  <si>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</si>
  <si>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</si>
  <si>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</si>
  <si>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</si>
  <si>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</si>
  <si>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</si>
  <si>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</si>
  <si>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</si>
  <si>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</si>
  <si>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</si>
  <si>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</si>
  <si>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</si>
  <si>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</si>
  <si>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</si>
  <si>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</si>
  <si>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</si>
  <si>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</si>
  <si>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</si>
  <si>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</si>
  <si>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</si>
  <si>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</si>
  <si>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</si>
  <si>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</si>
  <si>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</si>
  <si>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</si>
  <si>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</si>
  <si>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</si>
  <si>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</si>
  <si>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</si>
  <si>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</si>
  <si>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</si>
  <si>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</si>
  <si>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</si>
  <si>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</si>
  <si>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</si>
  <si>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</si>
  <si>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</si>
  <si>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</si>
  <si>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</si>
  <si>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</si>
  <si>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</si>
  <si>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</si>
  <si>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</si>
  <si>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</si>
  <si>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</si>
  <si>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</si>
  <si>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</si>
  <si>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</si>
  <si>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</si>
  <si>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</si>
  <si>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</si>
  <si>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</si>
  <si>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</si>
  <si>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</si>
  <si>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</si>
  <si>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</si>
  <si>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</si>
  <si>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</si>
  <si>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</si>
  <si>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</si>
  <si>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</si>
  <si>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</si>
  <si>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</si>
  <si>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</si>
  <si>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</si>
  <si>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</si>
  <si>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</si>
  <si>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</si>
  <si>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</si>
  <si>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</si>
  <si>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</si>
  <si>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</si>
  <si>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</si>
  <si>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</si>
  <si>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</si>
  <si>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</si>
  <si>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</si>
  <si>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</si>
  <si>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</si>
  <si>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</si>
  <si>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</si>
  <si>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</si>
  <si>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</si>
  <si>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</si>
  <si>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</si>
  <si>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</si>
  <si>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</si>
  <si>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</si>
  <si>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</si>
  <si>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</si>
  <si>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</si>
  <si>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</si>
  <si>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</si>
  <si>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</si>
  <si>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</si>
  <si>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</si>
  <si>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</si>
  <si>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</si>
  <si>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</si>
  <si>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</si>
  <si>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</si>
  <si>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</si>
  <si>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</si>
  <si>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</si>
  <si>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</si>
  <si>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</si>
  <si>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</si>
  <si>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</si>
  <si>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</si>
  <si>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</si>
  <si>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</si>
  <si>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</si>
  <si>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</si>
  <si>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</si>
  <si>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</si>
  <si>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</si>
  <si>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</si>
  <si>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</si>
  <si>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</si>
  <si>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</si>
  <si>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</si>
  <si>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</si>
  <si>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</si>
  <si>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</si>
  <si>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</si>
  <si>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</si>
  <si>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</si>
  <si>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</si>
  <si>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</si>
  <si>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</si>
  <si>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</si>
  <si>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</si>
  <si>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</si>
  <si>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</si>
  <si>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</si>
  <si>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</si>
  <si>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</si>
  <si>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</si>
  <si>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</si>
  <si>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</si>
  <si>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</si>
  <si>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</si>
  <si>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</si>
  <si>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</si>
  <si>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</si>
  <si>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</si>
  <si>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</si>
  <si>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</si>
  <si>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</si>
  <si>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</si>
  <si>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</si>
  <si>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</si>
  <si>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</si>
  <si>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</si>
  <si>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</si>
  <si>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</si>
  <si>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</si>
  <si>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</si>
  <si>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</si>
  <si>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</si>
  <si>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</si>
  <si>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</si>
  <si>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</si>
  <si>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</si>
  <si>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</si>
  <si>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</si>
  <si>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</si>
  <si>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</si>
  <si>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</si>
  <si>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</si>
  <si>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</si>
  <si>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</si>
  <si>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</si>
  <si>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</si>
  <si>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</si>
  <si>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</si>
  <si>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</si>
  <si>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</si>
  <si>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</si>
  <si>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</si>
  <si>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</si>
  <si>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</si>
  <si>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</si>
  <si>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</si>
  <si>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</si>
  <si>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</si>
  <si>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</si>
  <si>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</si>
  <si>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</si>
  <si>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</si>
  <si>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</si>
  <si>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</si>
  <si>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</si>
  <si>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</si>
  <si>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</si>
  <si>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</si>
  <si>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</si>
  <si>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</si>
  <si>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</si>
  <si>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</si>
  <si>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</si>
  <si>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</si>
  <si>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</si>
  <si>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</si>
  <si>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</si>
  <si>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</si>
  <si>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</si>
  <si>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</si>
  <si>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</si>
  <si>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</si>
  <si>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</si>
  <si>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</si>
  <si>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</si>
  <si>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</si>
  <si>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</si>
  <si>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</si>
  <si>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</si>
  <si>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</si>
  <si>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</si>
  <si>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</si>
  <si>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</si>
  <si>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</si>
  <si>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</si>
  <si>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</si>
  <si>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</si>
  <si>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</si>
  <si>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</si>
  <si>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</si>
  <si>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</si>
  <si>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</si>
  <si>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</si>
  <si>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</si>
  <si>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</si>
  <si>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</si>
  <si>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</si>
  <si>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</si>
  <si>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</si>
  <si>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</si>
  <si>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</si>
  <si>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</si>
  <si>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</si>
  <si>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</si>
  <si>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</si>
  <si>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</si>
  <si>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</si>
  <si>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</si>
  <si>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</si>
  <si>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</si>
  <si>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</si>
  <si>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</si>
  <si>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</si>
  <si>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</si>
  <si>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</si>
  <si>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</si>
  <si>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</si>
  <si>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</si>
  <si>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</si>
  <si>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</si>
  <si>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</si>
  <si>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</si>
  <si>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</si>
  <si>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</si>
  <si>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</si>
  <si>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</si>
  <si>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</si>
  <si>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</si>
  <si>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</si>
  <si>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</si>
  <si>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</si>
  <si>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</si>
  <si>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</si>
  <si>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</si>
  <si>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</si>
  <si>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</si>
  <si>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</si>
  <si>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</si>
  <si>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</si>
  <si>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</si>
  <si>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</si>
  <si>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</si>
  <si>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</si>
  <si>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</si>
  <si>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</si>
  <si>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</si>
  <si>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</si>
  <si>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</si>
  <si>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</si>
  <si>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</si>
  <si>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</si>
  <si>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</si>
  <si>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</si>
  <si>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</si>
  <si>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</si>
  <si>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</si>
  <si>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</si>
  <si>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</si>
  <si>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</si>
  <si>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</si>
  <si>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</si>
  <si>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</si>
  <si>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</si>
  <si>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</si>
  <si>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</si>
  <si>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</si>
  <si>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</si>
  <si>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</si>
  <si>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</si>
  <si>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</si>
  <si>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</si>
  <si>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</si>
  <si>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</si>
  <si>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</si>
  <si>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</si>
  <si>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</si>
  <si>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</si>
  <si>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</si>
  <si>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</si>
  <si>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</si>
  <si>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</si>
  <si>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</si>
  <si>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</si>
  <si>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</si>
  <si>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</si>
  <si>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</si>
  <si>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</si>
  <si>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</si>
  <si>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</si>
  <si>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</si>
  <si>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</si>
  <si>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</si>
  <si>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</si>
  <si>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</si>
  <si>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</si>
  <si>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</si>
  <si>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</si>
  <si>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</si>
  <si>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</si>
  <si>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</si>
  <si>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</si>
  <si>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</si>
  <si>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</si>
  <si>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</si>
  <si>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</si>
  <si>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</si>
  <si>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</si>
  <si>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</si>
  <si>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</si>
  <si>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</si>
  <si>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</si>
  <si>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</si>
  <si>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</si>
  <si>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</si>
  <si>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</si>
  <si>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</si>
  <si>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</si>
  <si>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</si>
  <si>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</si>
  <si>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</si>
  <si>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</si>
  <si>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</si>
  <si>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</si>
  <si>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</si>
  <si>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</si>
  <si>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</si>
  <si>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</si>
  <si>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</si>
  <si>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</si>
  <si>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</si>
  <si>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</si>
  <si>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</si>
  <si>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</si>
  <si>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</si>
  <si>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</si>
  <si>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</si>
  <si>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</si>
  <si>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</si>
  <si>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</si>
  <si>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</si>
  <si>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</si>
  <si>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</si>
  <si>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</si>
  <si>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</si>
  <si>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</si>
  <si>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Marki Microwave, Inc.</t>
  </si>
  <si>
    <t>DUNS: 78 391 4906</t>
  </si>
  <si>
    <t>215 Vineyard Court, Morgan Hill, CA 95037</t>
  </si>
  <si>
    <t>James Godbout</t>
  </si>
  <si>
    <t>james@markimicrowave.com</t>
  </si>
  <si>
    <t>(408) 778-4200</t>
  </si>
  <si>
    <t>Director of Quality and Compliance</t>
  </si>
  <si>
    <t xml:space="preserve">james@markimicrowave.com      
</t>
  </si>
  <si>
    <t>Information is provided from our suppliers CMRT</t>
  </si>
  <si>
    <t>www.markimicrowave.com/Assets/Product_releases/conflict_minerals.pdf</t>
  </si>
  <si>
    <t>CID000328</t>
  </si>
  <si>
    <t>CID000291</t>
  </si>
  <si>
    <t>Guangdong Rising Rare Metals-EO Materials Ltd.</t>
  </si>
  <si>
    <t>Conghua</t>
  </si>
  <si>
    <t>CID002568</t>
  </si>
  <si>
    <t>KEMET Blue Powder</t>
  </si>
  <si>
    <t>Mound House</t>
  </si>
  <si>
    <t>CID002530</t>
  </si>
  <si>
    <t>PT Inti Stania Prima</t>
  </si>
  <si>
    <t>CID001463</t>
  </si>
  <si>
    <t>PT Sariwiguna Binasentosa</t>
  </si>
  <si>
    <t>Pangkal Pinang</t>
  </si>
  <si>
    <t>CID002455</t>
  </si>
  <si>
    <t>CV Venus Inti Perkasa</t>
  </si>
  <si>
    <t>CID001434</t>
  </si>
  <si>
    <t>PT DS Jaya Abadi</t>
  </si>
  <si>
    <t>CID001458</t>
  </si>
  <si>
    <t>PT Prima Timah Utama</t>
  </si>
  <si>
    <t>CID001490</t>
  </si>
  <si>
    <t>CID002593</t>
  </si>
  <si>
    <t>CID001468</t>
  </si>
  <si>
    <t>CID000309</t>
  </si>
  <si>
    <t>PT Aries Kencana Sejahtera</t>
  </si>
  <si>
    <t>Pemali</t>
  </si>
  <si>
    <t>CID001402</t>
  </si>
  <si>
    <t>PT Babel Inti Perkasa</t>
  </si>
  <si>
    <t>Lintang</t>
  </si>
  <si>
    <t>CID001419</t>
  </si>
  <si>
    <t>PT Bangka Tin Industry</t>
  </si>
  <si>
    <t>CID001421</t>
  </si>
  <si>
    <t>PT Belitung Industri Sejahtera</t>
  </si>
  <si>
    <t>Pegantungan</t>
  </si>
  <si>
    <t>CID001428</t>
  </si>
  <si>
    <t>PT Bukit Timah</t>
  </si>
  <si>
    <t>CID001457</t>
  </si>
  <si>
    <t>PT Panca Mega Persada</t>
  </si>
  <si>
    <t>CID001493</t>
  </si>
  <si>
    <t>PT Tommy Utama</t>
  </si>
  <si>
    <t>Sumping Desa Batu Peyu</t>
  </si>
  <si>
    <t>CID002570</t>
  </si>
  <si>
    <t>CV Ayi Jaya</t>
  </si>
  <si>
    <t>CID002776</t>
  </si>
  <si>
    <t>PT Bangka Prima Tin</t>
  </si>
  <si>
    <t>Air Mesu</t>
  </si>
  <si>
    <t>CID002816</t>
  </si>
  <si>
    <t>PT Sukses Inti Makmur</t>
  </si>
  <si>
    <t>Sungai Samak</t>
  </si>
  <si>
    <t>CID002592</t>
  </si>
  <si>
    <t>CV Dua Sekawan</t>
  </si>
  <si>
    <t>CID000306</t>
  </si>
  <si>
    <t>CV Gita Pesona</t>
  </si>
  <si>
    <t>CID000313</t>
  </si>
  <si>
    <t>PT Premium Tin Indonesia</t>
  </si>
  <si>
    <t>Pangkalan</t>
  </si>
  <si>
    <t>CID002848</t>
  </si>
  <si>
    <t>Gejiu Fengming Metallurgy Chemical Plant</t>
  </si>
  <si>
    <t>CID001448</t>
  </si>
  <si>
    <t>CID002829</t>
  </si>
  <si>
    <t>PT Karimun Mining</t>
  </si>
  <si>
    <t>Karimun</t>
  </si>
  <si>
    <t>PT Kijang Jaya Mandiri</t>
  </si>
  <si>
    <t>CID001471</t>
  </si>
  <si>
    <t>PT Sumber Jaya Indah</t>
  </si>
  <si>
    <t>CID002835</t>
  </si>
  <si>
    <t>Daejin Indus Co., Ltd.</t>
  </si>
  <si>
    <t>Namdong-gu</t>
  </si>
  <si>
    <t>PT Tinindo Inter Nusa</t>
  </si>
  <si>
    <t>PT Rajehan Ariq</t>
  </si>
  <si>
    <t>PT Stanindo Inti Perkasa</t>
  </si>
  <si>
    <t>PT Menara Cipta Mulia</t>
  </si>
  <si>
    <t>Mentawak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</si>
</sst>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u/>
      <sz val="12"/>
      <color indexed="12"/>
      <name val="Cambria"/>
      <family val="1"/>
      <scheme val="major"/>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6">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0" fillId="0" borderId="19" xfId="0" applyBorder="1" applyAlignment="1" applyProtection="1">
      <alignment vertical="center" wrapText="1"/>
      <protection locked="0" hidden="1"/>
    </xf>
    <xf numFmtId="0" fontId="0" fillId="33" borderId="53" xfId="0" applyFill="1" applyBorder="1" applyAlignment="1" applyProtection="1">
      <alignment horizontal="left" vertical="center" wrapText="1"/>
      <protection locked="0" hidden="1"/>
    </xf>
    <xf numFmtId="0" fontId="0" fillId="33" borderId="42" xfId="0" applyFill="1" applyBorder="1" applyAlignment="1" applyProtection="1">
      <alignment horizontal="left" vertical="center" wrapText="1"/>
      <protection locked="0" hidden="1"/>
    </xf>
    <xf numFmtId="0" fontId="0" fillId="0" borderId="19" xfId="0" applyBorder="1" applyAlignment="1" applyProtection="1">
      <alignment vertical="center" wrapText="1"/>
      <protection locked="0"/>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97" fillId="33" borderId="61" xfId="487" applyNumberFormat="1" applyFont="1" applyFill="1" applyBorder="1" applyAlignment="1" applyProtection="1">
      <alignment horizontal="left" vertical="center" wrapText="1"/>
      <protection locked="0" hidden="1"/>
    </xf>
    <xf numFmtId="49" fontId="98" fillId="33" borderId="10" xfId="0" applyNumberFormat="1" applyFont="1" applyFill="1" applyBorder="1" applyAlignment="1" applyProtection="1">
      <alignment horizontal="left" vertical="center" wrapText="1"/>
      <protection locked="0" hidden="1"/>
    </xf>
    <xf numFmtId="49" fontId="98" fillId="33" borderId="37" xfId="0" applyNumberFormat="1" applyFont="1" applyFill="1" applyBorder="1" applyAlignment="1" applyProtection="1">
      <alignment horizontal="left" vertical="center" wrapText="1"/>
      <protection locked="0" hidden="1"/>
    </xf>
    <xf numFmtId="49" fontId="8" fillId="33" borderId="61" xfId="487" applyNumberFormat="1" applyFill="1" applyBorder="1" applyAlignment="1" applyProtection="1">
      <alignment horizontal="left" vertical="center" wrapText="1"/>
      <protection locked="0" hidden="1"/>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00000000-0005-0000-0000-00003A020000}"/>
    <cellStyle name="Normal_Sheet1" xfId="570" xr:uid="{00000000-0005-0000-0000-00003B020000}"/>
    <cellStyle name="Note 2" xfId="571" xr:uid="{00000000-0005-0000-0000-00003C020000}"/>
    <cellStyle name="Output 2" xfId="572" xr:uid="{00000000-0005-0000-0000-00003D020000}"/>
    <cellStyle name="Percent 2" xfId="573" xr:uid="{00000000-0005-0000-0000-00003E020000}"/>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C020000}"/>
    <cellStyle name="一般 7" xfId="588" xr:uid="{00000000-0005-0000-0000-00004D020000}"/>
    <cellStyle name="標準 2" xfId="589" xr:uid="{00000000-0005-0000-0000-00004E020000}"/>
    <cellStyle name="標準 2 2" xfId="590" xr:uid="{00000000-0005-0000-0000-00004F020000}"/>
    <cellStyle name="標準 2 3" xfId="591" xr:uid="{00000000-0005-0000-0000-000050020000}"/>
  </cellStyles>
  <dxfs count="2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ont>
        <condense val="0"/>
        <extend val="0"/>
        <color auto="1"/>
      </font>
      <fill>
        <patternFill>
          <bgColor indexed="10"/>
        </patternFill>
      </fill>
    </dxf>
    <dxf>
      <fill>
        <patternFill>
          <bgColor indexed="13"/>
        </patternFill>
      </fill>
    </dxf>
    <dxf>
      <fill>
        <patternFill>
          <bgColor rgb="FFFF000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MI_CMRT%20Rev%205.12%204-26-19%20(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sheetData sheetId="1"/>
      <sheetData sheetId="2"/>
      <sheetData sheetId="3"/>
      <sheetData sheetId="4">
        <row r="153">
          <cell r="A153" t="str">
            <v>CID001458</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james@markimicrowave.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http://www.markimicrowave.com/Assets/Product_releases/conflict_minerals.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6" activePane="bottomRight" state="frozen"/>
      <selection activeCell="A4" sqref="A4"/>
      <selection pane="topRight" activeCell="A4" sqref="A4"/>
      <selection pane="bottomLeft" activeCell="A4" sqref="A4"/>
      <selection pane="bottomRight" activeCell="F47" sqref="F47"/>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64"/>
      <c r="B2" s="38" t="s">
        <v>870</v>
      </c>
      <c r="C2" s="36"/>
      <c r="D2" s="208"/>
      <c r="E2" s="3"/>
      <c r="F2" s="36"/>
      <c r="G2" s="34"/>
    </row>
    <row r="3" spans="1:7">
      <c r="A3" s="364"/>
      <c r="B3" s="5" t="s">
        <v>862</v>
      </c>
      <c r="C3" s="6"/>
      <c r="D3" s="209"/>
      <c r="E3" s="3"/>
      <c r="F3" s="6"/>
      <c r="G3" s="34"/>
    </row>
    <row r="4" spans="1:7" ht="15.75">
      <c r="A4" s="364"/>
      <c r="B4" s="41" t="s">
        <v>872</v>
      </c>
      <c r="C4" s="7"/>
      <c r="D4" s="210"/>
      <c r="E4" s="3"/>
      <c r="F4" s="7"/>
      <c r="G4" s="34"/>
    </row>
    <row r="5" spans="1:7">
      <c r="A5" s="364"/>
      <c r="B5" s="40" t="s">
        <v>1063</v>
      </c>
      <c r="C5" s="4"/>
      <c r="D5" s="211"/>
      <c r="E5" s="3"/>
      <c r="F5" s="4"/>
      <c r="G5" s="34"/>
    </row>
    <row r="6" spans="1:7">
      <c r="A6" s="364"/>
      <c r="B6" s="8"/>
      <c r="C6" s="8"/>
      <c r="D6" s="212"/>
      <c r="E6" s="8"/>
      <c r="F6" s="8"/>
      <c r="G6" s="34"/>
    </row>
    <row r="7" spans="1:7">
      <c r="A7" s="364"/>
      <c r="B7" s="8"/>
      <c r="C7" s="8"/>
      <c r="D7" s="212"/>
      <c r="E7" s="8"/>
      <c r="F7" s="8"/>
      <c r="G7" s="34"/>
    </row>
    <row r="8" spans="1:7">
      <c r="A8" s="364"/>
      <c r="B8" s="8"/>
      <c r="C8" s="8"/>
      <c r="D8" s="212"/>
      <c r="E8" s="8"/>
      <c r="F8" s="8"/>
      <c r="G8" s="34"/>
    </row>
    <row r="9" spans="1:7">
      <c r="A9" s="364"/>
      <c r="B9" s="367" t="s">
        <v>873</v>
      </c>
      <c r="C9" s="367"/>
      <c r="D9" s="367"/>
      <c r="E9" s="367"/>
      <c r="F9" s="367"/>
      <c r="G9" s="34"/>
    </row>
    <row r="10" spans="1:7" ht="27" customHeight="1">
      <c r="A10" s="364"/>
      <c r="B10" s="368" t="s">
        <v>448</v>
      </c>
      <c r="C10" s="368"/>
      <c r="D10" s="368"/>
      <c r="E10" s="368"/>
      <c r="F10" s="368"/>
      <c r="G10" s="34"/>
    </row>
    <row r="11" spans="1:7" ht="27" customHeight="1">
      <c r="A11" s="364"/>
      <c r="B11" s="369"/>
      <c r="C11" s="369"/>
      <c r="D11" s="369"/>
      <c r="E11" s="369"/>
      <c r="F11" s="369"/>
      <c r="G11" s="34"/>
    </row>
    <row r="12" spans="1:7">
      <c r="A12" s="364"/>
      <c r="B12" s="42" t="s">
        <v>871</v>
      </c>
      <c r="C12" s="43" t="s">
        <v>874</v>
      </c>
      <c r="D12" s="213" t="s">
        <v>875</v>
      </c>
      <c r="E12" s="43" t="s">
        <v>628</v>
      </c>
      <c r="F12" s="43" t="s">
        <v>629</v>
      </c>
      <c r="G12" s="34"/>
    </row>
    <row r="13" spans="1:7" ht="33.75">
      <c r="A13" s="364"/>
      <c r="B13" s="2">
        <v>1</v>
      </c>
      <c r="C13" s="37" t="s">
        <v>1111</v>
      </c>
      <c r="D13" s="39" t="s">
        <v>899</v>
      </c>
      <c r="E13" s="196" t="s">
        <v>876</v>
      </c>
      <c r="F13" s="196"/>
      <c r="G13" s="34"/>
    </row>
    <row r="14" spans="1:7" ht="33.75">
      <c r="A14" s="364"/>
      <c r="B14" s="2">
        <v>2</v>
      </c>
      <c r="C14" s="37" t="s">
        <v>1111</v>
      </c>
      <c r="D14" s="39" t="s">
        <v>1048</v>
      </c>
      <c r="E14" s="196" t="s">
        <v>540</v>
      </c>
      <c r="F14" s="196" t="s">
        <v>541</v>
      </c>
      <c r="G14" s="34"/>
    </row>
    <row r="15" spans="1:7" ht="89.1" customHeight="1">
      <c r="A15" s="364"/>
      <c r="B15" s="370">
        <v>2.0099999999999998</v>
      </c>
      <c r="C15" s="361" t="s">
        <v>1111</v>
      </c>
      <c r="D15" s="373" t="s">
        <v>2358</v>
      </c>
      <c r="E15" s="197" t="s">
        <v>630</v>
      </c>
      <c r="F15" s="197" t="s">
        <v>633</v>
      </c>
      <c r="G15" s="34"/>
    </row>
    <row r="16" spans="1:7" ht="99" customHeight="1">
      <c r="A16" s="364"/>
      <c r="B16" s="371"/>
      <c r="C16" s="362"/>
      <c r="D16" s="374"/>
      <c r="E16" s="198"/>
      <c r="F16" s="198" t="s">
        <v>631</v>
      </c>
      <c r="G16" s="34"/>
    </row>
    <row r="17" spans="1:7" ht="63" customHeight="1">
      <c r="A17" s="364"/>
      <c r="B17" s="372"/>
      <c r="C17" s="363"/>
      <c r="D17" s="375"/>
      <c r="E17" s="37"/>
      <c r="F17" s="37" t="s">
        <v>632</v>
      </c>
      <c r="G17" s="34"/>
    </row>
    <row r="18" spans="1:7" ht="117" customHeight="1">
      <c r="A18" s="364"/>
      <c r="B18" s="370">
        <v>2.02</v>
      </c>
      <c r="C18" s="361" t="s">
        <v>1111</v>
      </c>
      <c r="D18" s="373" t="s">
        <v>2359</v>
      </c>
      <c r="E18" s="197" t="s">
        <v>449</v>
      </c>
      <c r="F18" s="197" t="s">
        <v>535</v>
      </c>
      <c r="G18" s="34"/>
    </row>
    <row r="19" spans="1:7" ht="71.099999999999994" customHeight="1">
      <c r="A19" s="364"/>
      <c r="B19" s="371"/>
      <c r="C19" s="362"/>
      <c r="D19" s="374"/>
      <c r="E19" s="198" t="s">
        <v>539</v>
      </c>
      <c r="F19" s="198" t="s">
        <v>450</v>
      </c>
      <c r="G19" s="34"/>
    </row>
    <row r="20" spans="1:7" ht="90.75" customHeight="1">
      <c r="A20" s="364"/>
      <c r="B20" s="371"/>
      <c r="C20" s="362"/>
      <c r="D20" s="374"/>
      <c r="E20" s="198"/>
      <c r="F20" s="198" t="s">
        <v>635</v>
      </c>
      <c r="G20" s="34"/>
    </row>
    <row r="21" spans="1:7" ht="74.25" customHeight="1">
      <c r="A21" s="364"/>
      <c r="B21" s="372"/>
      <c r="C21" s="363"/>
      <c r="D21" s="375"/>
      <c r="E21" s="37"/>
      <c r="F21" s="37" t="s">
        <v>634</v>
      </c>
      <c r="G21" s="34"/>
    </row>
    <row r="22" spans="1:7" ht="90" customHeight="1">
      <c r="A22" s="364"/>
      <c r="B22" s="355">
        <v>2.0299999999999998</v>
      </c>
      <c r="C22" s="355" t="s">
        <v>845</v>
      </c>
      <c r="D22" s="358" t="s">
        <v>2360</v>
      </c>
      <c r="E22" s="361" t="s">
        <v>447</v>
      </c>
      <c r="F22" s="197" t="s">
        <v>470</v>
      </c>
      <c r="G22" s="34"/>
    </row>
    <row r="23" spans="1:7" ht="109.5" customHeight="1">
      <c r="A23" s="364"/>
      <c r="B23" s="356"/>
      <c r="C23" s="356"/>
      <c r="D23" s="359"/>
      <c r="E23" s="362"/>
      <c r="F23" s="198" t="s">
        <v>846</v>
      </c>
      <c r="G23" s="34"/>
    </row>
    <row r="24" spans="1:7" ht="74.25" customHeight="1">
      <c r="A24" s="364"/>
      <c r="B24" s="357"/>
      <c r="C24" s="357"/>
      <c r="D24" s="360"/>
      <c r="E24" s="363"/>
      <c r="F24" s="37" t="s">
        <v>446</v>
      </c>
      <c r="G24" s="34"/>
    </row>
    <row r="25" spans="1:7" ht="72" customHeight="1">
      <c r="A25" s="364"/>
      <c r="B25" s="2" t="s">
        <v>468</v>
      </c>
      <c r="C25" s="37" t="s">
        <v>469</v>
      </c>
      <c r="D25" s="39" t="s">
        <v>2361</v>
      </c>
      <c r="E25" s="37" t="s">
        <v>2356</v>
      </c>
      <c r="F25" s="37" t="s">
        <v>471</v>
      </c>
      <c r="G25" s="34"/>
    </row>
    <row r="26" spans="1:7" ht="98.1" customHeight="1">
      <c r="A26" s="364"/>
      <c r="B26" s="352">
        <v>3</v>
      </c>
      <c r="C26" s="370" t="s">
        <v>72</v>
      </c>
      <c r="D26" s="373" t="s">
        <v>2362</v>
      </c>
      <c r="E26" s="361" t="s">
        <v>0</v>
      </c>
      <c r="F26" s="197" t="s">
        <v>66</v>
      </c>
      <c r="G26" s="34"/>
    </row>
    <row r="27" spans="1:7" ht="90" customHeight="1">
      <c r="A27" s="364"/>
      <c r="B27" s="353"/>
      <c r="C27" s="371"/>
      <c r="D27" s="374"/>
      <c r="E27" s="362"/>
      <c r="F27" s="198" t="s">
        <v>61</v>
      </c>
      <c r="G27" s="34"/>
    </row>
    <row r="28" spans="1:7" ht="19.350000000000001" customHeight="1">
      <c r="A28" s="364"/>
      <c r="B28" s="353"/>
      <c r="C28" s="371"/>
      <c r="D28" s="374"/>
      <c r="E28" s="362"/>
      <c r="F28" s="198" t="s">
        <v>62</v>
      </c>
      <c r="G28" s="34"/>
    </row>
    <row r="29" spans="1:7" ht="74.45" customHeight="1">
      <c r="A29" s="364"/>
      <c r="B29" s="353"/>
      <c r="C29" s="371"/>
      <c r="D29" s="374"/>
      <c r="E29" s="362"/>
      <c r="F29" s="198" t="s">
        <v>63</v>
      </c>
      <c r="G29" s="34"/>
    </row>
    <row r="30" spans="1:7" ht="62.45" customHeight="1">
      <c r="A30" s="364"/>
      <c r="B30" s="353"/>
      <c r="C30" s="371"/>
      <c r="D30" s="374"/>
      <c r="E30" s="362"/>
      <c r="F30" s="198" t="s">
        <v>64</v>
      </c>
      <c r="G30" s="34"/>
    </row>
    <row r="31" spans="1:7" ht="81" customHeight="1">
      <c r="A31" s="364"/>
      <c r="B31" s="353"/>
      <c r="C31" s="371"/>
      <c r="D31" s="374"/>
      <c r="E31" s="362"/>
      <c r="F31" s="198" t="s">
        <v>65</v>
      </c>
      <c r="G31" s="34"/>
    </row>
    <row r="32" spans="1:7" ht="48.75" customHeight="1">
      <c r="A32" s="364"/>
      <c r="B32" s="353"/>
      <c r="C32" s="371"/>
      <c r="D32" s="374"/>
      <c r="E32" s="362"/>
      <c r="F32" s="198" t="s">
        <v>68</v>
      </c>
      <c r="G32" s="34"/>
    </row>
    <row r="33" spans="1:7" ht="98.45" customHeight="1">
      <c r="A33" s="364"/>
      <c r="B33" s="353"/>
      <c r="C33" s="371"/>
      <c r="D33" s="374"/>
      <c r="E33" s="362"/>
      <c r="F33" s="198" t="s">
        <v>67</v>
      </c>
      <c r="G33" s="34"/>
    </row>
    <row r="34" spans="1:7" ht="89.1" customHeight="1">
      <c r="A34" s="364"/>
      <c r="B34" s="353"/>
      <c r="C34" s="371"/>
      <c r="D34" s="374"/>
      <c r="E34" s="362"/>
      <c r="F34" s="198" t="s">
        <v>69</v>
      </c>
      <c r="G34" s="34"/>
    </row>
    <row r="35" spans="1:7" ht="29.1" customHeight="1">
      <c r="A35" s="364"/>
      <c r="B35" s="353"/>
      <c r="C35" s="371"/>
      <c r="D35" s="374"/>
      <c r="E35" s="362"/>
      <c r="F35" s="198" t="s">
        <v>70</v>
      </c>
      <c r="G35" s="34"/>
    </row>
    <row r="36" spans="1:7" ht="126.75">
      <c r="A36" s="364"/>
      <c r="B36" s="354"/>
      <c r="C36" s="372"/>
      <c r="D36" s="375"/>
      <c r="E36" s="363"/>
      <c r="F36" s="199" t="s">
        <v>71</v>
      </c>
      <c r="G36" s="34"/>
    </row>
    <row r="37" spans="1:7" ht="112.5">
      <c r="A37" s="364"/>
      <c r="B37" s="171">
        <v>3.01</v>
      </c>
      <c r="C37" s="172" t="s">
        <v>72</v>
      </c>
      <c r="D37" s="39" t="s">
        <v>2363</v>
      </c>
      <c r="E37" s="200" t="s">
        <v>1351</v>
      </c>
      <c r="F37" s="201" t="s">
        <v>1457</v>
      </c>
      <c r="G37" s="34"/>
    </row>
    <row r="38" spans="1:7" ht="101.25">
      <c r="A38" s="364"/>
      <c r="B38" s="171">
        <v>3.02</v>
      </c>
      <c r="C38" s="172" t="s">
        <v>1384</v>
      </c>
      <c r="D38" s="39" t="s">
        <v>2364</v>
      </c>
      <c r="E38" s="200" t="s">
        <v>1399</v>
      </c>
      <c r="F38" s="201" t="s">
        <v>1458</v>
      </c>
      <c r="G38" s="34"/>
    </row>
    <row r="39" spans="1:7" ht="101.25">
      <c r="A39" s="364"/>
      <c r="B39" s="182">
        <v>4</v>
      </c>
      <c r="C39" s="181" t="s">
        <v>1554</v>
      </c>
      <c r="D39" s="39" t="s">
        <v>2365</v>
      </c>
      <c r="E39" s="37" t="s">
        <v>2307</v>
      </c>
      <c r="F39" s="37" t="s">
        <v>1555</v>
      </c>
      <c r="G39" s="34"/>
    </row>
    <row r="40" spans="1:7" ht="56.25">
      <c r="A40" s="364"/>
      <c r="B40" s="171">
        <v>4.01</v>
      </c>
      <c r="C40" s="181" t="s">
        <v>1554</v>
      </c>
      <c r="D40" s="39" t="s">
        <v>2367</v>
      </c>
      <c r="E40" s="37" t="s">
        <v>2321</v>
      </c>
      <c r="F40" s="37" t="s">
        <v>2326</v>
      </c>
      <c r="G40" s="34"/>
    </row>
    <row r="41" spans="1:7" ht="56.25">
      <c r="A41" s="364"/>
      <c r="B41" s="171" t="s">
        <v>2354</v>
      </c>
      <c r="C41" s="181" t="s">
        <v>1554</v>
      </c>
      <c r="D41" s="39" t="s">
        <v>2366</v>
      </c>
      <c r="E41" s="37" t="s">
        <v>2357</v>
      </c>
      <c r="F41" s="37" t="s">
        <v>2355</v>
      </c>
      <c r="G41" s="34"/>
    </row>
    <row r="42" spans="1:7" ht="56.25">
      <c r="A42" s="364"/>
      <c r="B42" s="171" t="s">
        <v>2399</v>
      </c>
      <c r="C42" s="181" t="s">
        <v>1554</v>
      </c>
      <c r="D42" s="39" t="s">
        <v>2406</v>
      </c>
      <c r="E42" s="37" t="s">
        <v>2356</v>
      </c>
      <c r="F42" s="37" t="s">
        <v>2400</v>
      </c>
      <c r="G42" s="34"/>
    </row>
    <row r="43" spans="1:7" ht="123.75">
      <c r="A43" s="364"/>
      <c r="B43" s="193">
        <v>4.0999999999999996</v>
      </c>
      <c r="C43" s="181" t="s">
        <v>2405</v>
      </c>
      <c r="D43" s="194">
        <v>42867</v>
      </c>
      <c r="E43" s="202" t="s">
        <v>2408</v>
      </c>
      <c r="F43" s="37" t="s">
        <v>2407</v>
      </c>
      <c r="G43" s="34"/>
    </row>
    <row r="44" spans="1:7" ht="78.75">
      <c r="A44" s="364"/>
      <c r="B44" s="193">
        <v>4.2</v>
      </c>
      <c r="C44" s="181" t="s">
        <v>2405</v>
      </c>
      <c r="D44" s="194">
        <v>42704</v>
      </c>
      <c r="E44" s="202" t="s">
        <v>2625</v>
      </c>
      <c r="F44" s="37" t="s">
        <v>2598</v>
      </c>
      <c r="G44" s="34"/>
    </row>
    <row r="45" spans="1:7" ht="157.5">
      <c r="A45" s="364"/>
      <c r="B45" s="243">
        <v>5</v>
      </c>
      <c r="C45" s="181" t="s">
        <v>2405</v>
      </c>
      <c r="D45" s="194">
        <v>42867</v>
      </c>
      <c r="E45" s="202" t="s">
        <v>13032</v>
      </c>
      <c r="F45" s="37" t="s">
        <v>12754</v>
      </c>
      <c r="G45" s="34"/>
    </row>
    <row r="46" spans="1:7" ht="45">
      <c r="A46" s="364"/>
      <c r="B46" s="193">
        <v>5.01</v>
      </c>
      <c r="C46" s="181" t="s">
        <v>2405</v>
      </c>
      <c r="D46" s="194">
        <v>42907</v>
      </c>
      <c r="E46" s="202" t="s">
        <v>13052</v>
      </c>
      <c r="F46" s="37" t="s">
        <v>12754</v>
      </c>
      <c r="G46" s="34"/>
    </row>
    <row r="47" spans="1:7" ht="67.5">
      <c r="A47" s="364"/>
      <c r="B47" s="193">
        <v>5.0999999999999996</v>
      </c>
      <c r="C47" s="181" t="s">
        <v>2405</v>
      </c>
      <c r="D47" s="194">
        <v>43070</v>
      </c>
      <c r="E47" s="202" t="s">
        <v>13247</v>
      </c>
      <c r="F47" s="37" t="s">
        <v>13248</v>
      </c>
      <c r="G47" s="34"/>
    </row>
    <row r="48" spans="1:7" ht="56.25">
      <c r="A48" s="364"/>
      <c r="B48" s="193">
        <v>5.1100000000000003</v>
      </c>
      <c r="C48" s="181" t="s">
        <v>13489</v>
      </c>
      <c r="D48" s="194">
        <v>43217</v>
      </c>
      <c r="E48" s="202" t="s">
        <v>13617</v>
      </c>
      <c r="F48" s="37" t="s">
        <v>13523</v>
      </c>
      <c r="G48" s="34"/>
    </row>
    <row r="49" spans="1:7" ht="56.25">
      <c r="A49" s="364"/>
      <c r="B49" s="193">
        <v>5.12</v>
      </c>
      <c r="C49" s="181" t="s">
        <v>13489</v>
      </c>
      <c r="D49" s="194">
        <v>43581</v>
      </c>
      <c r="E49" s="202" t="s">
        <v>13617</v>
      </c>
      <c r="F49" s="37" t="s">
        <v>14191</v>
      </c>
      <c r="G49" s="34"/>
    </row>
    <row r="50" spans="1:7" ht="78.75">
      <c r="A50" s="364"/>
      <c r="B50" s="243">
        <v>6</v>
      </c>
      <c r="C50" s="181" t="s">
        <v>13489</v>
      </c>
      <c r="D50" s="194">
        <v>43964</v>
      </c>
      <c r="E50" s="202" t="s">
        <v>14433</v>
      </c>
      <c r="F50" s="37" t="s">
        <v>14204</v>
      </c>
      <c r="G50" s="34"/>
    </row>
    <row r="51" spans="1:7" ht="45">
      <c r="A51" s="364"/>
      <c r="B51" s="193">
        <v>6.01</v>
      </c>
      <c r="C51" s="181" t="s">
        <v>13489</v>
      </c>
      <c r="D51" s="194">
        <v>43970</v>
      </c>
      <c r="E51" s="202" t="s">
        <v>15503</v>
      </c>
      <c r="F51" s="202" t="s">
        <v>14204</v>
      </c>
      <c r="G51" s="34"/>
    </row>
    <row r="52" spans="1:7" ht="13.5" thickBot="1">
      <c r="A52" s="365"/>
      <c r="B52" s="366" t="str">
        <f ca="1">OFFSET(L!$C$1,MATCH("General"&amp;"Cpy",L!$A:$A,0)-1,SL,,)</f>
        <v>© 2020 Responsible Minerals Initiative. All rights reserved.</v>
      </c>
      <c r="C52" s="366"/>
      <c r="D52" s="366"/>
      <c r="E52" s="366"/>
      <c r="F52" s="366"/>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31" zoomScalePageLayoutView="60" workbookViewId="0">
      <selection activeCell="F24" sqref="F24"/>
    </sheetView>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6"/>
      <c r="B1" s="377"/>
      <c r="C1" s="377"/>
      <c r="D1" s="378"/>
    </row>
    <row r="2" spans="1:5" ht="71.25" customHeight="1">
      <c r="A2" s="87"/>
      <c r="B2" s="167" t="str">
        <f ca="1">OFFSET(L!$C$1,MATCH("Definitions"&amp;ADDRESS(ROW(),COLUMN(),4),L!$A:$A,0)-1,SL,,)</f>
        <v>ITEM</v>
      </c>
      <c r="C2" s="167" t="str">
        <f ca="1">OFFSET(L!$C$1,MATCH("Definitions"&amp;ADDRESS(ROW(),COLUMN(),4),L!$A:$A,0)-1,SL,,)</f>
        <v>DEFINITION</v>
      </c>
      <c r="D2" s="380"/>
      <c r="E2" s="127"/>
    </row>
    <row r="3" spans="1:5" ht="63.95" customHeight="1">
      <c r="A3" s="87"/>
      <c r="B3" s="74" t="str">
        <f ca="1">OFFSET(L!$C$1,MATCH("Definitions"&amp;ADDRESS(ROW(),COLUMN(),4),L!$A:$A,0)-1,SL,,)</f>
        <v>3TG</v>
      </c>
      <c r="C3" s="74" t="str">
        <f ca="1">OFFSET(L!$C$1,MATCH("Definitions"&amp;ADDRESS(ROW(),COLUMN(),4),L!$A:$A,0)-1,SL,,)</f>
        <v>Tantalum, tin, tungsten, gold</v>
      </c>
      <c r="D3" s="380"/>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0"/>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0"/>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0"/>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0"/>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0"/>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0"/>
      <c r="E9" s="128" t="s">
        <v>1336</v>
      </c>
    </row>
    <row r="10" spans="1:5" ht="45">
      <c r="A10" s="87"/>
      <c r="B10" s="74" t="str">
        <f ca="1">OFFSET(L!$C$1,MATCH("Definitions"&amp;ADDRESS(ROW(),COLUMN(),4),L!$A:$A,0)-1,SL,,)</f>
        <v>DRC</v>
      </c>
      <c r="C10" s="74" t="str">
        <f ca="1">OFFSET(L!$C$1,MATCH("Definitions"&amp;ADDRESS(ROW(),COLUMN(),4),L!$A:$A,0)-1,SL,,)</f>
        <v>Democratic Republic of Congo</v>
      </c>
      <c r="D10" s="380"/>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0"/>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0"/>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0"/>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0"/>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0"/>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0"/>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0"/>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0"/>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80"/>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0"/>
      <c r="E20" s="128"/>
    </row>
    <row r="21" spans="1:5" ht="15">
      <c r="A21" s="87"/>
      <c r="B21" s="74" t="str">
        <f ca="1">OFFSET(L!$C$1,MATCH("Definitions"&amp;ADDRESS(ROW(),COLUMN(),4),L!$A:$A,0)-1,SL,,)</f>
        <v>RBA</v>
      </c>
      <c r="C21" s="74" t="str">
        <f ca="1">OFFSET(L!$C$1,MATCH("Definitions"&amp;ADDRESS(ROW(),COLUMN(),4),L!$A:$A,0)-1,SL,,)</f>
        <v>Responsible Business Alliance (www.responsiblebusiness.org)</v>
      </c>
      <c r="D21" s="380"/>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0"/>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0"/>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0"/>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0"/>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80"/>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0"/>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0"/>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0"/>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0"/>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0"/>
      <c r="E31" s="128"/>
    </row>
    <row r="32" spans="1:5" ht="15">
      <c r="A32" s="87"/>
      <c r="B32" s="379" t="str">
        <f ca="1">OFFSET(L!$C$1,MATCH("General"&amp;"Cpy",L!$A:$A,0)-1,SL,,)</f>
        <v>© 2020 Responsible Minerals Initiative. All rights reserved.</v>
      </c>
      <c r="C32" s="379"/>
      <c r="D32" s="380"/>
      <c r="E32" s="128"/>
    </row>
    <row r="33" spans="1:4" ht="13.5" thickBot="1">
      <c r="A33" s="88"/>
      <c r="B33" s="185"/>
      <c r="C33" s="185"/>
      <c r="D33" s="381"/>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70" zoomScaleNormal="70" zoomScalePageLayoutView="70" workbookViewId="0">
      <selection activeCell="D87" sqref="D87:E87"/>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1"/>
      <c r="B1" s="402"/>
      <c r="C1" s="402"/>
      <c r="D1" s="402"/>
      <c r="E1" s="402"/>
      <c r="F1" s="402"/>
      <c r="G1" s="402"/>
      <c r="H1" s="402"/>
      <c r="I1" s="402"/>
      <c r="J1" s="402"/>
      <c r="K1" s="403"/>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4" t="str">
        <f ca="1">OFFSET(L!$C$1,MATCH("Declaration"&amp;ADDRESS(ROW(),COLUMN(),4),L!$A:$A,0)-1,SL,,)</f>
        <v>Conflict Minerals Reporting Template (CMRT)</v>
      </c>
      <c r="E2" s="405"/>
      <c r="F2" s="405"/>
      <c r="G2" s="405"/>
      <c r="H2" s="405"/>
      <c r="I2" s="405"/>
      <c r="J2" s="406"/>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7"/>
      <c r="G3" s="417"/>
      <c r="H3" s="417"/>
      <c r="I3" s="184"/>
      <c r="J3" s="168" t="s">
        <v>15505</v>
      </c>
      <c r="K3" s="47"/>
      <c r="L3" s="139"/>
      <c r="M3" s="130"/>
      <c r="N3" s="130"/>
      <c r="O3" s="131"/>
      <c r="P3" s="144">
        <f>MATCH($D$3,LN,0)</f>
        <v>1</v>
      </c>
    </row>
    <row r="4" spans="1:34" ht="15.75">
      <c r="A4" s="45"/>
      <c r="B4" s="413" t="str">
        <f ca="1">OFFSET(L!$C$1,MATCH("Declaration"&amp;ADDRESS(ROW(),COLUMN(),4),L!$A:$A,0)-1,SL,,)</f>
        <v>The purpose of this document is to collect sourcing information on tin, tantalum, tungsten and gold used in products</v>
      </c>
      <c r="C4" s="413"/>
      <c r="D4" s="413"/>
      <c r="E4" s="413"/>
      <c r="F4" s="413"/>
      <c r="G4" s="413"/>
      <c r="H4" s="413"/>
      <c r="I4" s="418" t="str">
        <f ca="1">OFFSET(L!$C$1,MATCH("Declaration"&amp;ADDRESS(ROW(),COLUMN(),4),L!$A:$A,0)-1,SL,,)</f>
        <v>Link to Terms &amp; Conditions</v>
      </c>
      <c r="J4" s="418"/>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3" t="str">
        <f ca="1">OFFSET(L!$C$1,MATCH("Declaration"&amp;ADDRESS(ROW(),COLUMN(),4),L!$A:$A,0)-1,SL,,)</f>
        <v>Mandatory fields are noted with an asterisk (*).  Consult the instructions tab for guidance on how to answer each question.</v>
      </c>
      <c r="C6" s="413"/>
      <c r="D6" s="413"/>
      <c r="E6" s="413"/>
      <c r="F6" s="413"/>
      <c r="G6" s="413"/>
      <c r="H6" s="413"/>
      <c r="I6" s="413"/>
      <c r="J6" s="413"/>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2" t="str">
        <f ca="1">OFFSET(L!$C$1,MATCH("Declaration"&amp;ADDRESS(ROW(),COLUMN(),4),L!$A:$A,0)-1,SL,,)</f>
        <v>Company Information</v>
      </c>
      <c r="C7" s="422"/>
      <c r="D7" s="422"/>
      <c r="E7" s="422"/>
      <c r="F7" s="422"/>
      <c r="G7" s="422"/>
      <c r="H7" s="422"/>
      <c r="I7" s="422"/>
      <c r="J7" s="422"/>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ustomHeight="1">
      <c r="A8" s="49"/>
      <c r="B8" s="86" t="str">
        <f ca="1">OFFSET(L!$C$1,MATCH("Declaration"&amp;ADDRESS(ROW(),COLUMN(),4),L!$A:$A,0)-1,SL,,)</f>
        <v>Company Name (*):</v>
      </c>
      <c r="C8" s="89"/>
      <c r="D8" s="407" t="s">
        <v>15506</v>
      </c>
      <c r="E8" s="408"/>
      <c r="F8" s="408"/>
      <c r="G8" s="408"/>
      <c r="H8" s="408"/>
      <c r="I8" s="408"/>
      <c r="J8" s="409"/>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9" t="s">
        <v>504</v>
      </c>
      <c r="E9" s="420"/>
      <c r="F9" s="420"/>
      <c r="G9" s="421"/>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3" t="str">
        <f ca="1">OFFSET(L!$C$1,MATCH("Declaration"&amp;ADDRESS(ROW(),COLUMN(),4)&amp;LEFT($D$9,1),L!$A:$A,0)-1,SL,,)</f>
        <v>Description of Scope:</v>
      </c>
      <c r="C10" s="151"/>
      <c r="D10" s="414"/>
      <c r="E10" s="415"/>
      <c r="F10" s="415"/>
      <c r="G10" s="415"/>
      <c r="H10" s="415"/>
      <c r="I10" s="415"/>
      <c r="J10" s="41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4"/>
      <c r="C11" s="151"/>
      <c r="D11" s="434" t="str">
        <f ca="1">IF(D9=Q9,OFFSET(L!$C$1,MATCH("Declaration"&amp;ADDRESS(ROW(),COLUMN(),4),L!$A:$A,0)-1,SL,,),"")</f>
        <v/>
      </c>
      <c r="E11" s="435"/>
      <c r="F11" s="435"/>
      <c r="G11" s="435"/>
      <c r="H11" s="435"/>
      <c r="I11" s="435"/>
      <c r="J11" s="436"/>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0" t="s">
        <v>15507</v>
      </c>
      <c r="E12" s="391"/>
      <c r="F12" s="391"/>
      <c r="G12" s="391"/>
      <c r="H12" s="391"/>
      <c r="I12" s="391"/>
      <c r="J12" s="392"/>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10"/>
      <c r="E13" s="411"/>
      <c r="F13" s="411"/>
      <c r="G13" s="411"/>
      <c r="H13" s="411"/>
      <c r="I13" s="411"/>
      <c r="J13" s="412"/>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0" t="s">
        <v>15508</v>
      </c>
      <c r="E14" s="391"/>
      <c r="F14" s="391"/>
      <c r="G14" s="391"/>
      <c r="H14" s="391"/>
      <c r="I14" s="391"/>
      <c r="J14" s="392"/>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10" t="s">
        <v>15509</v>
      </c>
      <c r="E15" s="411"/>
      <c r="F15" s="411"/>
      <c r="G15" s="411"/>
      <c r="H15" s="411"/>
      <c r="I15" s="411"/>
      <c r="J15" s="412"/>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5" t="s">
        <v>15510</v>
      </c>
      <c r="E16" s="426"/>
      <c r="F16" s="426"/>
      <c r="G16" s="426"/>
      <c r="H16" s="426"/>
      <c r="I16" s="426"/>
      <c r="J16" s="42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0" t="s">
        <v>15511</v>
      </c>
      <c r="E17" s="391"/>
      <c r="F17" s="391"/>
      <c r="G17" s="391"/>
      <c r="H17" s="391"/>
      <c r="I17" s="391"/>
      <c r="J17" s="392"/>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10" t="s">
        <v>15509</v>
      </c>
      <c r="E18" s="411"/>
      <c r="F18" s="411"/>
      <c r="G18" s="411"/>
      <c r="H18" s="411"/>
      <c r="I18" s="411"/>
      <c r="J18" s="412"/>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ustomHeight="1">
      <c r="A19" s="49"/>
      <c r="B19" s="51" t="str">
        <f ca="1">OFFSET(L!$C$1,MATCH("Declaration"&amp;ADDRESS(ROW(),COLUMN(),4),L!$A:$A,0)-1,SL,,)</f>
        <v>Title - Authorizer:</v>
      </c>
      <c r="C19" s="90"/>
      <c r="D19" s="410" t="s">
        <v>15512</v>
      </c>
      <c r="E19" s="411"/>
      <c r="F19" s="411"/>
      <c r="G19" s="411"/>
      <c r="H19" s="411"/>
      <c r="I19" s="411"/>
      <c r="J19" s="412"/>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ustomHeight="1">
      <c r="A20" s="49"/>
      <c r="B20" s="51" t="str">
        <f ca="1">OFFSET(L!$C$1,MATCH("Declaration"&amp;ADDRESS(ROW(),COLUMN(),4),L!$A:$A,0)-1,SL,,)</f>
        <v>Email - Authorizer (*):</v>
      </c>
      <c r="C20" s="90"/>
      <c r="D20" s="428" t="s">
        <v>15513</v>
      </c>
      <c r="E20" s="391"/>
      <c r="F20" s="391"/>
      <c r="G20" s="391"/>
      <c r="H20" s="391"/>
      <c r="I20" s="391"/>
      <c r="J20" s="39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90" t="s">
        <v>15511</v>
      </c>
      <c r="E21" s="391"/>
      <c r="F21" s="391"/>
      <c r="G21" s="391"/>
      <c r="H21" s="391"/>
      <c r="I21" s="391"/>
      <c r="J21" s="392"/>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93">
        <v>44047</v>
      </c>
      <c r="E22" s="394"/>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31"/>
      <c r="E23" s="431"/>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5" t="str">
        <f ca="1">OFFSET(L!$C$1,MATCH("Declaration"&amp;ADDRESS(ROW(),COLUMN(),4),L!$A:$A,0)-1,SL,,)</f>
        <v>Answer the following questions 1 - 8 based on the declaration scope indicated above</v>
      </c>
      <c r="C24" s="395"/>
      <c r="D24" s="395"/>
      <c r="E24" s="395"/>
      <c r="F24" s="395"/>
      <c r="G24" s="395"/>
      <c r="H24" s="395"/>
      <c r="I24" s="395"/>
      <c r="J24" s="395"/>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32" t="str">
        <f ca="1">OFFSET(L!$C$1,MATCH("Declaration"&amp;ADDRESS(ROW(),COLUMN(),4),L!$A:$A,0)-1,SL,,)</f>
        <v>Answer</v>
      </c>
      <c r="E25" s="43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82" t="s">
        <v>498</v>
      </c>
      <c r="E26" s="383"/>
      <c r="F26" s="15"/>
      <c r="G26" s="384"/>
      <c r="H26" s="385"/>
      <c r="I26" s="385"/>
      <c r="J26" s="386"/>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82" t="s">
        <v>498</v>
      </c>
      <c r="E27" s="383"/>
      <c r="F27" s="15"/>
      <c r="G27" s="384"/>
      <c r="H27" s="385"/>
      <c r="I27" s="385"/>
      <c r="J27" s="386"/>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82" t="s">
        <v>498</v>
      </c>
      <c r="E28" s="383"/>
      <c r="F28" s="15"/>
      <c r="G28" s="384"/>
      <c r="H28" s="385"/>
      <c r="I28" s="385"/>
      <c r="J28" s="386"/>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82" t="s">
        <v>498</v>
      </c>
      <c r="E29" s="383"/>
      <c r="F29" s="15"/>
      <c r="G29" s="384"/>
      <c r="H29" s="385"/>
      <c r="I29" s="385"/>
      <c r="J29" s="386"/>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9" t="str">
        <f ca="1">D25</f>
        <v>Answer</v>
      </c>
      <c r="E31" s="389"/>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6" t="s">
        <v>498</v>
      </c>
      <c r="E32" s="397"/>
      <c r="F32" s="58"/>
      <c r="G32" s="384"/>
      <c r="H32" s="385"/>
      <c r="I32" s="385"/>
      <c r="J32" s="386"/>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82" t="s">
        <v>498</v>
      </c>
      <c r="E33" s="383"/>
      <c r="F33" s="58"/>
      <c r="G33" s="384"/>
      <c r="H33" s="385"/>
      <c r="I33" s="385"/>
      <c r="J33" s="386"/>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82" t="s">
        <v>498</v>
      </c>
      <c r="E34" s="383"/>
      <c r="F34" s="58"/>
      <c r="G34" s="384"/>
      <c r="H34" s="385"/>
      <c r="I34" s="385"/>
      <c r="J34" s="386"/>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82" t="s">
        <v>498</v>
      </c>
      <c r="E35" s="383"/>
      <c r="F35" s="58"/>
      <c r="G35" s="384"/>
      <c r="H35" s="385"/>
      <c r="I35" s="385"/>
      <c r="J35" s="386"/>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9" t="str">
        <f ca="1">D25</f>
        <v>Answer</v>
      </c>
      <c r="E37" s="389"/>
      <c r="F37" s="21"/>
      <c r="G37" s="55" t="str">
        <f ca="1">G25</f>
        <v>Comments</v>
      </c>
      <c r="H37" s="430"/>
      <c r="I37" s="430"/>
      <c r="J37" s="430"/>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82" t="s">
        <v>499</v>
      </c>
      <c r="E38" s="383"/>
      <c r="F38" s="58"/>
      <c r="G38" s="384" t="s">
        <v>15514</v>
      </c>
      <c r="H38" s="385"/>
      <c r="I38" s="385"/>
      <c r="J38" s="386"/>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2" t="s">
        <v>499</v>
      </c>
      <c r="E39" s="383"/>
      <c r="F39" s="58"/>
      <c r="G39" s="384" t="s">
        <v>15514</v>
      </c>
      <c r="H39" s="385"/>
      <c r="I39" s="385"/>
      <c r="J39" s="386"/>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2" t="s">
        <v>499</v>
      </c>
      <c r="E40" s="383"/>
      <c r="F40" s="58"/>
      <c r="G40" s="384" t="s">
        <v>15514</v>
      </c>
      <c r="H40" s="385"/>
      <c r="I40" s="385"/>
      <c r="J40" s="386"/>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82" t="s">
        <v>499</v>
      </c>
      <c r="E41" s="383"/>
      <c r="F41" s="58"/>
      <c r="G41" s="384" t="s">
        <v>15514</v>
      </c>
      <c r="H41" s="385"/>
      <c r="I41" s="385"/>
      <c r="J41" s="386"/>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9" t="str">
        <f ca="1">D25</f>
        <v>Answer</v>
      </c>
      <c r="E43" s="389"/>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2" t="s">
        <v>499</v>
      </c>
      <c r="E44" s="383"/>
      <c r="F44" s="58"/>
      <c r="G44" s="384" t="s">
        <v>15514</v>
      </c>
      <c r="H44" s="385"/>
      <c r="I44" s="385"/>
      <c r="J44" s="386"/>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2" t="s">
        <v>499</v>
      </c>
      <c r="E45" s="383"/>
      <c r="F45" s="58"/>
      <c r="G45" s="384" t="s">
        <v>15514</v>
      </c>
      <c r="H45" s="385"/>
      <c r="I45" s="385"/>
      <c r="J45" s="386"/>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2" t="s">
        <v>499</v>
      </c>
      <c r="E46" s="383"/>
      <c r="F46" s="58"/>
      <c r="G46" s="384" t="s">
        <v>15514</v>
      </c>
      <c r="H46" s="385"/>
      <c r="I46" s="385"/>
      <c r="J46" s="386"/>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2" t="s">
        <v>499</v>
      </c>
      <c r="E47" s="383"/>
      <c r="F47" s="58"/>
      <c r="G47" s="384" t="s">
        <v>15514</v>
      </c>
      <c r="H47" s="385"/>
      <c r="I47" s="385"/>
      <c r="J47" s="386"/>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9" t="str">
        <f ca="1">D25</f>
        <v>Answer</v>
      </c>
      <c r="E49" s="389"/>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82" t="s">
        <v>499</v>
      </c>
      <c r="E50" s="383"/>
      <c r="F50" s="58"/>
      <c r="G50" s="384" t="s">
        <v>15514</v>
      </c>
      <c r="H50" s="385"/>
      <c r="I50" s="385"/>
      <c r="J50" s="386"/>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82" t="s">
        <v>499</v>
      </c>
      <c r="E51" s="383"/>
      <c r="F51" s="58"/>
      <c r="G51" s="384" t="s">
        <v>15514</v>
      </c>
      <c r="H51" s="385"/>
      <c r="I51" s="385"/>
      <c r="J51" s="386"/>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82" t="s">
        <v>499</v>
      </c>
      <c r="E52" s="383"/>
      <c r="F52" s="58"/>
      <c r="G52" s="384" t="s">
        <v>15514</v>
      </c>
      <c r="H52" s="385"/>
      <c r="I52" s="385"/>
      <c r="J52" s="386"/>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82" t="s">
        <v>499</v>
      </c>
      <c r="E53" s="383"/>
      <c r="F53" s="58"/>
      <c r="G53" s="384" t="s">
        <v>15514</v>
      </c>
      <c r="H53" s="385"/>
      <c r="I53" s="385"/>
      <c r="J53" s="386"/>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9" t="str">
        <f ca="1">D25</f>
        <v>Answer</v>
      </c>
      <c r="E55" s="389"/>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87">
        <v>1</v>
      </c>
      <c r="E56" s="388"/>
      <c r="F56" s="58"/>
      <c r="G56" s="384" t="s">
        <v>15514</v>
      </c>
      <c r="H56" s="385"/>
      <c r="I56" s="385"/>
      <c r="J56" s="386"/>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7">
        <v>1</v>
      </c>
      <c r="E57" s="388"/>
      <c r="F57" s="58"/>
      <c r="G57" s="384" t="s">
        <v>15514</v>
      </c>
      <c r="H57" s="385"/>
      <c r="I57" s="385"/>
      <c r="J57" s="386"/>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7">
        <v>1</v>
      </c>
      <c r="E58" s="388"/>
      <c r="F58" s="58"/>
      <c r="G58" s="384" t="s">
        <v>15514</v>
      </c>
      <c r="H58" s="385"/>
      <c r="I58" s="385"/>
      <c r="J58" s="386"/>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87">
        <v>1</v>
      </c>
      <c r="E59" s="388"/>
      <c r="F59" s="58"/>
      <c r="G59" s="384" t="s">
        <v>15514</v>
      </c>
      <c r="H59" s="385"/>
      <c r="I59" s="385"/>
      <c r="J59" s="386"/>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9" t="str">
        <f ca="1">D25</f>
        <v>Answer</v>
      </c>
      <c r="E61" s="389"/>
      <c r="F61" s="21"/>
      <c r="G61" s="55" t="str">
        <f ca="1">G25</f>
        <v>Comments</v>
      </c>
      <c r="H61" s="429"/>
      <c r="I61" s="429"/>
      <c r="J61" s="429"/>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6" t="s">
        <v>498</v>
      </c>
      <c r="E62" s="397"/>
      <c r="F62" s="58"/>
      <c r="G62" s="384" t="s">
        <v>15514</v>
      </c>
      <c r="H62" s="385"/>
      <c r="I62" s="385"/>
      <c r="J62" s="386"/>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82" t="s">
        <v>498</v>
      </c>
      <c r="E63" s="383"/>
      <c r="F63" s="58"/>
      <c r="G63" s="384" t="s">
        <v>15514</v>
      </c>
      <c r="H63" s="385"/>
      <c r="I63" s="385"/>
      <c r="J63" s="386"/>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82" t="s">
        <v>498</v>
      </c>
      <c r="E64" s="383"/>
      <c r="F64" s="58"/>
      <c r="G64" s="384" t="s">
        <v>15514</v>
      </c>
      <c r="H64" s="385"/>
      <c r="I64" s="385"/>
      <c r="J64" s="386"/>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82" t="s">
        <v>498</v>
      </c>
      <c r="E65" s="383"/>
      <c r="F65" s="58"/>
      <c r="G65" s="384" t="s">
        <v>15514</v>
      </c>
      <c r="H65" s="385"/>
      <c r="I65" s="385"/>
      <c r="J65" s="386"/>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9" t="str">
        <f ca="1">D25</f>
        <v>Answer</v>
      </c>
      <c r="E67" s="389"/>
      <c r="F67" s="21"/>
      <c r="G67" s="55" t="str">
        <f ca="1">G25</f>
        <v>Comments</v>
      </c>
      <c r="H67" s="429" t="str">
        <f>IF(Q75="(*)","Click here to enter smelter names","")</f>
        <v/>
      </c>
      <c r="I67" s="429"/>
      <c r="J67" s="429"/>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82" t="s">
        <v>498</v>
      </c>
      <c r="E68" s="383"/>
      <c r="F68" s="59"/>
      <c r="G68" s="384" t="s">
        <v>15514</v>
      </c>
      <c r="H68" s="385"/>
      <c r="I68" s="385"/>
      <c r="J68" s="386"/>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82" t="s">
        <v>498</v>
      </c>
      <c r="E69" s="383"/>
      <c r="F69" s="59"/>
      <c r="G69" s="384" t="s">
        <v>15514</v>
      </c>
      <c r="H69" s="385"/>
      <c r="I69" s="385"/>
      <c r="J69" s="386"/>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82" t="s">
        <v>498</v>
      </c>
      <c r="E70" s="383"/>
      <c r="F70" s="59"/>
      <c r="G70" s="384" t="s">
        <v>15514</v>
      </c>
      <c r="H70" s="385"/>
      <c r="I70" s="385"/>
      <c r="J70" s="386"/>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82" t="s">
        <v>498</v>
      </c>
      <c r="E71" s="383"/>
      <c r="F71" s="61"/>
      <c r="G71" s="384" t="s">
        <v>15514</v>
      </c>
      <c r="H71" s="385"/>
      <c r="I71" s="385"/>
      <c r="J71" s="386"/>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43" t="str">
        <f ca="1">OFFSET(L!$C$1,MATCH("Declaration"&amp;ADDRESS(ROW(),COLUMN(),4),L!$A:$A,0)-1,SL,,)</f>
        <v>Answer the Following Questions at a Company Level</v>
      </c>
      <c r="C73" s="443"/>
      <c r="D73" s="443"/>
      <c r="E73" s="443"/>
      <c r="F73" s="443"/>
      <c r="G73" s="443"/>
      <c r="H73" s="443"/>
      <c r="I73" s="443"/>
      <c r="J73" s="44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32" t="str">
        <f ca="1">D25</f>
        <v>Answer</v>
      </c>
      <c r="E74" s="432"/>
      <c r="F74" s="64"/>
      <c r="G74" s="432" t="str">
        <f ca="1">G25</f>
        <v>Comments</v>
      </c>
      <c r="H74" s="432" t="e">
        <f>HLOOKUP(SL,LT,$O74,0)</f>
        <v>#NAME?</v>
      </c>
      <c r="I74" s="43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2" t="s">
        <v>498</v>
      </c>
      <c r="E75" s="383"/>
      <c r="F75" s="68"/>
      <c r="G75" s="384"/>
      <c r="H75" s="385"/>
      <c r="I75" s="385"/>
      <c r="J75" s="386"/>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33"/>
      <c r="H76" s="433"/>
      <c r="I76" s="433"/>
      <c r="J76" s="433"/>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2" t="s">
        <v>498</v>
      </c>
      <c r="E77" s="383"/>
      <c r="F77" s="68"/>
      <c r="G77" s="398" t="s">
        <v>15515</v>
      </c>
      <c r="H77" s="399"/>
      <c r="I77" s="399"/>
      <c r="J77" s="400"/>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2" t="s">
        <v>498</v>
      </c>
      <c r="E79" s="383"/>
      <c r="F79" s="68"/>
      <c r="G79" s="384"/>
      <c r="H79" s="385"/>
      <c r="I79" s="385"/>
      <c r="J79" s="386"/>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2" t="s">
        <v>498</v>
      </c>
      <c r="E81" s="383"/>
      <c r="F81" s="68"/>
      <c r="G81" s="384"/>
      <c r="H81" s="385"/>
      <c r="I81" s="385"/>
      <c r="J81" s="386"/>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2" t="s">
        <v>15442</v>
      </c>
      <c r="E83" s="383"/>
      <c r="F83" s="68"/>
      <c r="G83" s="384"/>
      <c r="H83" s="385"/>
      <c r="I83" s="385"/>
      <c r="J83" s="386"/>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40" t="s">
        <v>498</v>
      </c>
      <c r="E85" s="441"/>
      <c r="F85" s="68"/>
      <c r="G85" s="384"/>
      <c r="H85" s="385"/>
      <c r="I85" s="385"/>
      <c r="J85" s="386"/>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33"/>
      <c r="H86" s="433"/>
      <c r="I86" s="433"/>
      <c r="J86" s="433"/>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2" t="s">
        <v>498</v>
      </c>
      <c r="E87" s="383"/>
      <c r="F87" s="68"/>
      <c r="G87" s="384"/>
      <c r="H87" s="385"/>
      <c r="I87" s="385"/>
      <c r="J87" s="386"/>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42"/>
      <c r="H88" s="442"/>
      <c r="I88" s="442"/>
      <c r="J88" s="442"/>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2" t="s">
        <v>499</v>
      </c>
      <c r="E89" s="383"/>
      <c r="F89" s="68"/>
      <c r="G89" s="384"/>
      <c r="H89" s="385"/>
      <c r="I89" s="385"/>
      <c r="J89" s="386"/>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9" t="str">
        <f>IF(OR($D$8="",$I$3=""),"","Click here to check required fields completion")</f>
        <v/>
      </c>
      <c r="C90" s="439"/>
      <c r="D90" s="439"/>
      <c r="E90" s="439"/>
      <c r="F90" s="439"/>
      <c r="G90" s="439"/>
      <c r="H90" s="439"/>
      <c r="I90" s="439"/>
      <c r="J90" s="439"/>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7" t="str">
        <f ca="1">OFFSET(L!$C$1,MATCH("General"&amp;"Cpy",L!$A:$A,0)-1,SL,,)</f>
        <v>© 2020 Responsible Minerals Initiative. All rights reserved.</v>
      </c>
      <c r="B91" s="438"/>
      <c r="C91" s="438"/>
      <c r="D91" s="438"/>
      <c r="E91" s="438"/>
      <c r="F91" s="438"/>
      <c r="G91" s="438"/>
      <c r="H91" s="438"/>
      <c r="I91" s="438"/>
      <c r="J91" s="438"/>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247" priority="70" stopIfTrue="1">
      <formula>AND(OR($D$26="No",AND($D$26="Yes",$D$32="No")),OR($D$27="No",AND($D$27="Yes",$D$33="No")),OR($D$28="No",AND($D$28="Yes",$D$34="No")),OR($D$29="No",AND($D$29="Yes",$D$35="No")))</formula>
    </cfRule>
    <cfRule type="expression" dxfId="246" priority="71" stopIfTrue="1">
      <formula>IF(D75="",TRUE)</formula>
    </cfRule>
  </conditionalFormatting>
  <conditionalFormatting sqref="G77:J77">
    <cfRule type="expression" dxfId="245" priority="42" stopIfTrue="1">
      <formula>IF(AND($D$77="Yes",$G$77=""),TRUE)</formula>
    </cfRule>
  </conditionalFormatting>
  <conditionalFormatting sqref="D26:E26">
    <cfRule type="expression" dxfId="244" priority="122" stopIfTrue="1">
      <formula>IF($D$26="",TRUE)</formula>
    </cfRule>
  </conditionalFormatting>
  <conditionalFormatting sqref="D27:E27">
    <cfRule type="expression" dxfId="243" priority="129" stopIfTrue="1">
      <formula>IF($D$27="",TRUE)</formula>
    </cfRule>
  </conditionalFormatting>
  <conditionalFormatting sqref="D28:E28">
    <cfRule type="expression" dxfId="242" priority="130" stopIfTrue="1">
      <formula>IF($D$28="",TRUE)</formula>
    </cfRule>
  </conditionalFormatting>
  <conditionalFormatting sqref="D29:E29">
    <cfRule type="expression" dxfId="241" priority="131" stopIfTrue="1">
      <formula>IF($D$29="",TRUE)</formula>
    </cfRule>
  </conditionalFormatting>
  <conditionalFormatting sqref="D9:G9">
    <cfRule type="expression" dxfId="240" priority="137" stopIfTrue="1">
      <formula>IF($D$9="",TRUE)</formula>
    </cfRule>
  </conditionalFormatting>
  <conditionalFormatting sqref="D22:E22">
    <cfRule type="expression" dxfId="239" priority="144" stopIfTrue="1">
      <formula>IF($D$22="",TRUE)</formula>
    </cfRule>
  </conditionalFormatting>
  <conditionalFormatting sqref="D10:J10">
    <cfRule type="expression" dxfId="238" priority="41" stopIfTrue="1">
      <formula>IF($D$9=$Q$9,TRUE)</formula>
    </cfRule>
    <cfRule type="expression" dxfId="237" priority="151" stopIfTrue="1">
      <formula>IF(AND($D$10="",$D$9=$R$9),TRUE)</formula>
    </cfRule>
  </conditionalFormatting>
  <conditionalFormatting sqref="D34:E34 D40:E40 D52:E52 D58:E58 D64:E64 D70:E70">
    <cfRule type="expression" dxfId="236" priority="34" stopIfTrue="1">
      <formula>$P$28=""</formula>
    </cfRule>
  </conditionalFormatting>
  <conditionalFormatting sqref="D35:E35 D41:E41 D53:E53 D59:E59 D65:E65 D71:E71">
    <cfRule type="expression" dxfId="235" priority="149" stopIfTrue="1">
      <formula>$P$29=""</formula>
    </cfRule>
  </conditionalFormatting>
  <conditionalFormatting sqref="D32:E32">
    <cfRule type="expression" dxfId="234" priority="127" stopIfTrue="1">
      <formula>$P$26=""</formula>
    </cfRule>
  </conditionalFormatting>
  <conditionalFormatting sqref="D32:E32">
    <cfRule type="expression" dxfId="233" priority="40" stopIfTrue="1">
      <formula>IF(AND(OR($D$26="Yes",$D$26=""),$D$32=""),1,0)</formula>
    </cfRule>
  </conditionalFormatting>
  <conditionalFormatting sqref="D38 D50 D56 D62 D68">
    <cfRule type="expression" dxfId="232" priority="36" stopIfTrue="1">
      <formula>$P$32=""</formula>
    </cfRule>
  </conditionalFormatting>
  <conditionalFormatting sqref="D39:E39 D51 D57 D63 D69">
    <cfRule type="expression" dxfId="231" priority="35" stopIfTrue="1">
      <formula>$P$33=""</formula>
    </cfRule>
  </conditionalFormatting>
  <conditionalFormatting sqref="D40 D52 D58 D64 D70">
    <cfRule type="expression" dxfId="230" priority="25" stopIfTrue="1">
      <formula>$P$34=""</formula>
    </cfRule>
    <cfRule type="expression" dxfId="229" priority="147" stopIfTrue="1">
      <formula>IF(AND(OR($D$28="Yes",$D$28=""),D40=""),1,0)</formula>
    </cfRule>
  </conditionalFormatting>
  <conditionalFormatting sqref="D41 D53 D59 D65 D71">
    <cfRule type="expression" dxfId="228" priority="33" stopIfTrue="1">
      <formula>$P$35=""</formula>
    </cfRule>
  </conditionalFormatting>
  <conditionalFormatting sqref="D38:E38 D50:E50 D56:E56 D62:E62 D68:E68">
    <cfRule type="expression" dxfId="227" priority="38" stopIfTrue="1">
      <formula>$P$26=""</formula>
    </cfRule>
    <cfRule type="expression" dxfId="226" priority="39" stopIfTrue="1">
      <formula>IF(AND(OR($D$26="Yes",$D$26=""),D38=""),1,0)</formula>
    </cfRule>
  </conditionalFormatting>
  <conditionalFormatting sqref="G85:J85">
    <cfRule type="expression" dxfId="225" priority="32" stopIfTrue="1">
      <formula>IF(AND($D$85="Yes, using other format (describe)",$G$85=""),TRUE)</formula>
    </cfRule>
  </conditionalFormatting>
  <conditionalFormatting sqref="D39:E39 D51:E51 D57:E57 D63:E63 D69:E69">
    <cfRule type="expression" dxfId="224" priority="145" stopIfTrue="1">
      <formula>$P$39=""</formula>
    </cfRule>
    <cfRule type="expression" dxfId="223" priority="146" stopIfTrue="1">
      <formula>IF(AND(OR($D$27="Yes",$D$27=""),D39=""),1,0)</formula>
    </cfRule>
  </conditionalFormatting>
  <conditionalFormatting sqref="D33:E33">
    <cfRule type="expression" dxfId="222" priority="27" stopIfTrue="1">
      <formula>IF(AND(OR($D$27="Yes",$D$27=""),$D$33=""),1,0)</formula>
    </cfRule>
    <cfRule type="expression" dxfId="221" priority="28" stopIfTrue="1">
      <formula>$P$27=""</formula>
    </cfRule>
  </conditionalFormatting>
  <conditionalFormatting sqref="D34:E34">
    <cfRule type="expression" dxfId="220" priority="148" stopIfTrue="1">
      <formula>IF(AND(OR($D$28="Yes",$D$28=""),$D$34=""),1,0)</formula>
    </cfRule>
  </conditionalFormatting>
  <conditionalFormatting sqref="D41:E41 D53:E53 D59:E59 D65:E65 D71:E71">
    <cfRule type="expression" dxfId="219" priority="150" stopIfTrue="1">
      <formula>IF(AND(OR($D$29="Yes",$D$29=""),D41=""),1,0)</formula>
    </cfRule>
  </conditionalFormatting>
  <conditionalFormatting sqref="D35:E35">
    <cfRule type="expression" dxfId="218" priority="24" stopIfTrue="1">
      <formula>IF(AND(OR($D$29="Yes",$D$29=""),$D$35=""),1,0)</formula>
    </cfRule>
  </conditionalFormatting>
  <conditionalFormatting sqref="D46:E46">
    <cfRule type="expression" dxfId="217" priority="10" stopIfTrue="1">
      <formula>$P$28=""</formula>
    </cfRule>
  </conditionalFormatting>
  <conditionalFormatting sqref="D47:E47">
    <cfRule type="expression" dxfId="216" priority="18" stopIfTrue="1">
      <formula>$P$29=""</formula>
    </cfRule>
  </conditionalFormatting>
  <conditionalFormatting sqref="D44">
    <cfRule type="expression" dxfId="215" priority="12" stopIfTrue="1">
      <formula>$P$32=""</formula>
    </cfRule>
  </conditionalFormatting>
  <conditionalFormatting sqref="D45">
    <cfRule type="expression" dxfId="214" priority="11" stopIfTrue="1">
      <formula>$P$33=""</formula>
    </cfRule>
  </conditionalFormatting>
  <conditionalFormatting sqref="D46">
    <cfRule type="expression" dxfId="213" priority="8" stopIfTrue="1">
      <formula>$P$34=""</formula>
    </cfRule>
    <cfRule type="expression" dxfId="212" priority="17" stopIfTrue="1">
      <formula>IF(AND(OR($D$28="Yes",$D$28=""),D46=""),1,0)</formula>
    </cfRule>
  </conditionalFormatting>
  <conditionalFormatting sqref="D47">
    <cfRule type="expression" dxfId="211" priority="9" stopIfTrue="1">
      <formula>$P$35=""</formula>
    </cfRule>
  </conditionalFormatting>
  <conditionalFormatting sqref="D44:E44">
    <cfRule type="expression" dxfId="210" priority="13" stopIfTrue="1">
      <formula>$P$26=""</formula>
    </cfRule>
    <cfRule type="expression" dxfId="209" priority="14" stopIfTrue="1">
      <formula>IF(AND(OR($D$26="Yes",$D$26=""),D44=""),1,0)</formula>
    </cfRule>
  </conditionalFormatting>
  <conditionalFormatting sqref="D45:E45">
    <cfRule type="expression" dxfId="208" priority="15" stopIfTrue="1">
      <formula>$P$39=""</formula>
    </cfRule>
    <cfRule type="expression" dxfId="207" priority="16" stopIfTrue="1">
      <formula>IF(AND(OR($D$27="Yes",$D$27=""),D45=""),1,0)</formula>
    </cfRule>
  </conditionalFormatting>
  <conditionalFormatting sqref="D47:E47">
    <cfRule type="expression" dxfId="206" priority="19" stopIfTrue="1">
      <formula>IF(AND(OR($D$29="Yes",$D$29=""),D47=""),1,0)</formula>
    </cfRule>
  </conditionalFormatting>
  <conditionalFormatting sqref="D8:J8">
    <cfRule type="expression" dxfId="205" priority="7" stopIfTrue="1">
      <formula>IF($D$8="",TRUE)</formula>
    </cfRule>
  </conditionalFormatting>
  <conditionalFormatting sqref="D15:J15">
    <cfRule type="expression" dxfId="204" priority="6" stopIfTrue="1">
      <formula>IF($D$15="",TRUE)</formula>
    </cfRule>
  </conditionalFormatting>
  <conditionalFormatting sqref="D16:J16">
    <cfRule type="expression" dxfId="203" priority="5" stopIfTrue="1">
      <formula>IF($D$16="",TRUE)</formula>
    </cfRule>
  </conditionalFormatting>
  <conditionalFormatting sqref="D17:J17">
    <cfRule type="expression" dxfId="202" priority="4" stopIfTrue="1">
      <formula>IF($D$17="",TRUE)</formula>
    </cfRule>
  </conditionalFormatting>
  <conditionalFormatting sqref="D18:J18">
    <cfRule type="expression" dxfId="201" priority="3" stopIfTrue="1">
      <formula>IF($D$18="",TRUE)</formula>
    </cfRule>
  </conditionalFormatting>
  <conditionalFormatting sqref="D20:J20">
    <cfRule type="expression" dxfId="200" priority="2" stopIfTrue="1">
      <formula>IF($D$20="",TRUE)</formula>
    </cfRule>
  </conditionalFormatting>
  <conditionalFormatting sqref="D21:J21">
    <cfRule type="expression" dxfId="199" priority="1" stopIfTrue="1">
      <formula>IF($D$21="",TRUE)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20" r:id="rId3" xr:uid="{BC30741A-3C3C-4890-9A0A-169FF9066157}"/>
    <hyperlink ref="G77" r:id="rId4" xr:uid="{084E7DB7-B471-4D35-927C-36A7390FEE15}"/>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80" zoomScaleNormal="80" zoomScalePageLayoutView="55" workbookViewId="0">
      <pane ySplit="4" topLeftCell="A5" activePane="bottomLeft" state="frozen"/>
      <selection pane="bottomLeft" activeCell="J206" sqref="J206"/>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44" t="str">
        <f ca="1">OFFSET(L!$C$1,MATCH("Smelter List"&amp;ADDRESS(ROW(),COLUMN(),4),L!$A:$A,0)-1,SL,,)</f>
        <v>Link to "RMAP Conformant Smelter List"</v>
      </c>
      <c r="K2" s="445"/>
      <c r="L2" s="445"/>
      <c r="M2" s="445"/>
      <c r="N2" s="445"/>
      <c r="O2" s="445"/>
      <c r="P2" s="234"/>
      <c r="Q2" s="235"/>
      <c r="R2" s="236"/>
      <c r="S2" s="236"/>
      <c r="T2" s="236"/>
      <c r="U2" s="267"/>
      <c r="V2" s="267"/>
      <c r="W2" s="268"/>
      <c r="X2" s="267"/>
      <c r="Y2" s="267"/>
      <c r="Z2" s="267"/>
      <c r="AH2" s="176" t="s">
        <v>498</v>
      </c>
    </row>
    <row r="3" spans="1:34" s="269" customFormat="1" ht="243.95" customHeight="1">
      <c r="A3" s="204"/>
      <c r="B3" s="44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6"/>
      <c r="D3" s="446"/>
      <c r="E3" s="446"/>
      <c r="F3" s="270"/>
      <c r="G3" s="447" t="str">
        <f ca="1">OFFSET(L!$C$1,MATCH("General"&amp;"Cpy",L!$A:$A,0)-1,SL,,)</f>
        <v>© 2020 Responsible Minerals Initiative. All rights reserved.</v>
      </c>
      <c r="H3" s="447"/>
      <c r="I3" s="448"/>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t="s">
        <v>740</v>
      </c>
      <c r="B5" s="217" t="str">
        <f ca="1">IF(LEN(A5)=0,"",INDEX('Smelter Look-up'!$A:$A,MATCH($A5,'Smelter Look-up'!$E:$E,0)))</f>
        <v>Gold</v>
      </c>
      <c r="C5" s="221" t="str">
        <f ca="1">IF(LEN(A5)=0,"",INDEX('Smelter Look-up'!$C:$C,MATCH($A5,'Smelter Look-up'!$E:$E,0)))</f>
        <v>Royal Canadian Mint</v>
      </c>
      <c r="D5" s="283"/>
      <c r="E5" s="217" t="str">
        <f ca="1">IF(ISERROR($V5),"",OFFSET('Smelter Look-up'!$D$4,$V5-4,0)&amp;"")</f>
        <v>CANADA</v>
      </c>
      <c r="F5" s="217" t="str">
        <f ca="1">IF(ISERROR($V5),"",OFFSET('Smelter Look-up'!$E$4,$V5-4,0))</f>
        <v>CID001534</v>
      </c>
      <c r="G5" s="217" t="str">
        <f ca="1">IF(C5=$X$4,"Enter smelter details",IF(ISERROR($V5),"",OFFSET('Smelter Look-up'!$F$4,$V5-4,0)))</f>
        <v>RMI</v>
      </c>
      <c r="H5" s="218">
        <f ca="1">IF(ISERROR($V5),"",OFFSET('Smelter Look-up'!$G$4,$V5-4,0))</f>
        <v>0</v>
      </c>
      <c r="I5" s="219" t="str">
        <f ca="1">IF(ISERROR($V5),"",OFFSET('Smelter Look-up'!$H$4,$V5-4,0))</f>
        <v>Ottawa</v>
      </c>
      <c r="J5" s="219" t="str">
        <f ca="1">IF(ISERROR($V5),"",OFFSET('Smelter Look-up'!$I$4,$V5-4,0))</f>
        <v>Ontario</v>
      </c>
      <c r="K5" s="273"/>
      <c r="L5" s="273"/>
      <c r="M5" s="273"/>
      <c r="N5" s="273"/>
      <c r="O5" s="273"/>
      <c r="P5" s="220"/>
      <c r="Q5" s="274"/>
      <c r="R5" s="217" t="str">
        <f ca="1">IF(ISERROR($V5),"",OFFSET('Smelter Look-up'!$C$4,$V5-4,0)&amp;"")</f>
        <v>Royal Canadian Mint</v>
      </c>
      <c r="S5" s="225" t="str">
        <f t="shared" ref="S5" ca="1" si="0">IF(B5="","",IF(ISERROR(MATCH($E5,CL,0)),"Unknown",INDIRECT("'C'!$A$"&amp;MATCH($E5,CL,0)+1)))</f>
        <v>CA</v>
      </c>
      <c r="T5" s="225" t="str">
        <f ca="1">IF(B5="","",IF(ISERROR(MATCH($J5,SorP!$B$1:$B$6230,0)),"",INDIRECT("'SorP'!$A$"&amp;MATCH($J5,SorP!$B$1:$B$6230,0))))</f>
        <v>CA-ON</v>
      </c>
      <c r="U5" s="241"/>
      <c r="V5" s="275">
        <f ca="1">IF(C5="",NA(),MATCH($B5&amp;$C5,'Smelter Look-up'!$J:$J,0))</f>
        <v>202</v>
      </c>
      <c r="W5" s="276"/>
      <c r="X5" s="276">
        <f t="shared" ref="X5" ca="1" si="1">IF(AND(C5="Smelter not listed",OR(LEN(D5)=0,LEN(E5)=0)),1,0)</f>
        <v>0</v>
      </c>
      <c r="Y5" s="276"/>
      <c r="Z5" s="276"/>
      <c r="AB5" s="278" t="str">
        <f t="shared" ref="AB5" ca="1" si="2">B5&amp;C5</f>
        <v>GoldRoyal Canadian Mint</v>
      </c>
    </row>
    <row r="6" spans="1:34" s="277" customFormat="1" ht="20.100000000000001" customHeight="1">
      <c r="A6" s="332" t="s">
        <v>724</v>
      </c>
      <c r="B6" s="217" t="str">
        <f ca="1">IF(LEN(A6)=0,"",INDEX('Smelter Look-up'!$A:$A,MATCH($A6,'Smelter Look-up'!$E:$E,0)))</f>
        <v>Gold</v>
      </c>
      <c r="C6" s="221" t="str">
        <f ca="1">IF(LEN(A6)=0,"",INDEX('Smelter Look-up'!$C:$C,MATCH($A6,'Smelter Look-up'!$E:$E,0)))</f>
        <v>Metalor USA Refining Corporation</v>
      </c>
      <c r="D6" s="283"/>
      <c r="E6" s="217" t="str">
        <f ca="1">IF(ISERROR($V6),"",OFFSET('Smelter Look-up'!$D$4,$V6-4,0)&amp;"")</f>
        <v>UNITED STATES OF AMERICA</v>
      </c>
      <c r="F6" s="217" t="str">
        <f ca="1">IF(ISERROR($V6),"",OFFSET('Smelter Look-up'!$E$4,$V6-4,0))</f>
        <v>CID001157</v>
      </c>
      <c r="G6" s="217" t="str">
        <f ca="1">IF(C6=$X$4,"Enter smelter details",IF(ISERROR($V6),"",OFFSET('Smelter Look-up'!$F$4,$V6-4,0)))</f>
        <v>RMI</v>
      </c>
      <c r="H6" s="218">
        <f ca="1">IF(ISERROR($V6),"",OFFSET('Smelter Look-up'!$G$4,$V6-4,0))</f>
        <v>0</v>
      </c>
      <c r="I6" s="219" t="str">
        <f ca="1">IF(ISERROR($V6),"",OFFSET('Smelter Look-up'!$H$4,$V6-4,0))</f>
        <v>North Attleboro</v>
      </c>
      <c r="J6" s="219" t="str">
        <f ca="1">IF(ISERROR($V6),"",OFFSET('Smelter Look-up'!$I$4,$V6-4,0))</f>
        <v>Massachusetts</v>
      </c>
      <c r="K6" s="273"/>
      <c r="L6" s="273"/>
      <c r="M6" s="273"/>
      <c r="N6" s="273"/>
      <c r="O6" s="273"/>
      <c r="P6" s="220"/>
      <c r="Q6" s="274"/>
      <c r="R6" s="217" t="str">
        <f ca="1">IF(ISERROR($V6),"",OFFSET('Smelter Look-up'!$C$4,$V6-4,0)&amp;"")</f>
        <v>Metalor USA Refining Corporation</v>
      </c>
      <c r="S6" s="225" t="str">
        <f t="shared" ref="S6:S37" ca="1" si="3">IF(B6="","",IF(ISERROR(MATCH($E6,CL,0)),"Unknown",INDIRECT("'C'!$A$"&amp;MATCH($E6,CL,0)+1)))</f>
        <v>US</v>
      </c>
      <c r="T6" s="225" t="str">
        <f ca="1">IF(B6="","",IF(ISERROR(MATCH($J6,SorP!$B$1:$B$6230,0)),"",INDIRECT("'SorP'!$A$"&amp;MATCH($J6,SorP!$B$1:$B$6230,0))))</f>
        <v>US-MA</v>
      </c>
      <c r="U6" s="241"/>
      <c r="V6" s="275">
        <f ca="1">IF(C6="",NA(),MATCH($B6&amp;$C6,'Smelter Look-up'!$J:$J,0))</f>
        <v>159</v>
      </c>
      <c r="W6" s="276"/>
      <c r="X6" s="276">
        <f t="shared" ref="X6:X37" ca="1" si="4">IF(AND(C6="Smelter not listed",OR(LEN(D6)=0,LEN(E6)=0)),1,0)</f>
        <v>0</v>
      </c>
      <c r="Y6" s="276"/>
      <c r="Z6" s="276"/>
      <c r="AB6" s="278" t="str">
        <f t="shared" ref="AB6:AB37" ca="1" si="5">B6&amp;C6</f>
        <v>GoldMetalor USA Refining Corporation</v>
      </c>
    </row>
    <row r="7" spans="1:34" s="277" customFormat="1" ht="20.100000000000001" customHeight="1">
      <c r="A7" s="332" t="s">
        <v>711</v>
      </c>
      <c r="B7" s="217" t="str">
        <f ca="1">IF(LEN(A7)=0,"",INDEX('Smelter Look-up'!$A:$A,MATCH($A7,'Smelter Look-up'!$E:$E,0)))</f>
        <v>Gold</v>
      </c>
      <c r="C7" s="221" t="str">
        <f ca="1">IF(LEN(A7)=0,"",INDEX('Smelter Look-up'!$C:$C,MATCH($A7,'Smelter Look-up'!$E:$E,0)))</f>
        <v>Kennecott Utah Copper LLC</v>
      </c>
      <c r="D7" s="283"/>
      <c r="E7" s="217" t="str">
        <f ca="1">IF(ISERROR($V7),"",OFFSET('Smelter Look-up'!$D$4,$V7-4,0)&amp;"")</f>
        <v>UNITED STATES OF AMERICA</v>
      </c>
      <c r="F7" s="217" t="str">
        <f ca="1">IF(ISERROR($V7),"",OFFSET('Smelter Look-up'!$E$4,$V7-4,0))</f>
        <v>CID000969</v>
      </c>
      <c r="G7" s="217" t="str">
        <f ca="1">IF(C7=$X$4,"Enter smelter details",IF(ISERROR($V7),"",OFFSET('Smelter Look-up'!$F$4,$V7-4,0)))</f>
        <v>RMI</v>
      </c>
      <c r="H7" s="218">
        <f ca="1">IF(ISERROR($V7),"",OFFSET('Smelter Look-up'!$G$4,$V7-4,0))</f>
        <v>0</v>
      </c>
      <c r="I7" s="219" t="str">
        <f ca="1">IF(ISERROR($V7),"",OFFSET('Smelter Look-up'!$H$4,$V7-4,0))</f>
        <v>Magna</v>
      </c>
      <c r="J7" s="219" t="str">
        <f ca="1">IF(ISERROR($V7),"",OFFSET('Smelter Look-up'!$I$4,$V7-4,0))</f>
        <v>Utah</v>
      </c>
      <c r="K7" s="273"/>
      <c r="L7" s="273"/>
      <c r="M7" s="273"/>
      <c r="N7" s="273"/>
      <c r="O7" s="273"/>
      <c r="P7" s="220"/>
      <c r="Q7" s="274"/>
      <c r="R7" s="217" t="str">
        <f ca="1">IF(ISERROR($V7),"",OFFSET('Smelter Look-up'!$C$4,$V7-4,0)&amp;"")</f>
        <v>Kennecott Utah Copper LLC</v>
      </c>
      <c r="S7" s="225" t="str">
        <f t="shared" ca="1" si="3"/>
        <v>US</v>
      </c>
      <c r="T7" s="225" t="str">
        <f ca="1">IF(B7="","",IF(ISERROR(MATCH($J7,SorP!$B$1:$B$6230,0)),"",INDIRECT("'SorP'!$A$"&amp;MATCH($J7,SorP!$B$1:$B$6230,0))))</f>
        <v>US-UT</v>
      </c>
      <c r="U7" s="241"/>
      <c r="V7" s="275">
        <f ca="1">IF(C7="",NA(),MATCH($B7&amp;$C7,'Smelter Look-up'!$J:$J,0))</f>
        <v>124</v>
      </c>
      <c r="W7" s="276"/>
      <c r="X7" s="276">
        <f t="shared" ca="1" si="4"/>
        <v>0</v>
      </c>
      <c r="Y7" s="276"/>
      <c r="Z7" s="276"/>
      <c r="AB7" s="278" t="str">
        <f t="shared" ca="1" si="5"/>
        <v>GoldKennecott Utah Copper LLC</v>
      </c>
    </row>
    <row r="8" spans="1:34" s="277" customFormat="1" ht="20.100000000000001" customHeight="1">
      <c r="A8" s="332" t="s">
        <v>680</v>
      </c>
      <c r="B8" s="217" t="str">
        <f ca="1">IF(LEN(A8)=0,"",INDEX('Smelter Look-up'!$A:$A,MATCH($A8,'Smelter Look-up'!$E:$E,0)))</f>
        <v>Gold</v>
      </c>
      <c r="C8" s="221" t="str">
        <f ca="1">IF(LEN(A8)=0,"",INDEX('Smelter Look-up'!$C:$C,MATCH($A8,'Smelter Look-up'!$E:$E,0)))</f>
        <v>CCR Refinery - Glencore Canada Corporation</v>
      </c>
      <c r="D8" s="283"/>
      <c r="E8" s="217" t="str">
        <f ca="1">IF(ISERROR($V8),"",OFFSET('Smelter Look-up'!$D$4,$V8-4,0)&amp;"")</f>
        <v>CANADA</v>
      </c>
      <c r="F8" s="217" t="str">
        <f ca="1">IF(ISERROR($V8),"",OFFSET('Smelter Look-up'!$E$4,$V8-4,0))</f>
        <v>CID000185</v>
      </c>
      <c r="G8" s="217" t="str">
        <f ca="1">IF(C8=$X$4,"Enter smelter details",IF(ISERROR($V8),"",OFFSET('Smelter Look-up'!$F$4,$V8-4,0)))</f>
        <v>RMI</v>
      </c>
      <c r="H8" s="218">
        <f ca="1">IF(ISERROR($V8),"",OFFSET('Smelter Look-up'!$G$4,$V8-4,0))</f>
        <v>0</v>
      </c>
      <c r="I8" s="219" t="str">
        <f ca="1">IF(ISERROR($V8),"",OFFSET('Smelter Look-up'!$H$4,$V8-4,0))</f>
        <v>Montréal</v>
      </c>
      <c r="J8" s="219" t="str">
        <f ca="1">IF(ISERROR($V8),"",OFFSET('Smelter Look-up'!$I$4,$V8-4,0))</f>
        <v>Quebec</v>
      </c>
      <c r="K8" s="273"/>
      <c r="L8" s="273"/>
      <c r="M8" s="273"/>
      <c r="N8" s="273"/>
      <c r="O8" s="273"/>
      <c r="P8" s="220"/>
      <c r="Q8" s="274"/>
      <c r="R8" s="217" t="str">
        <f ca="1">IF(ISERROR($V8),"",OFFSET('Smelter Look-up'!$C$4,$V8-4,0)&amp;"")</f>
        <v>CCR Refinery - Glencore Canada Corporation</v>
      </c>
      <c r="S8" s="225" t="str">
        <f t="shared" ca="1" si="3"/>
        <v>CA</v>
      </c>
      <c r="T8" s="225" t="str">
        <f ca="1">IF(B8="","",IF(ISERROR(MATCH($J8,SorP!$B$1:$B$6230,0)),"",INDIRECT("'SorP'!$A$"&amp;MATCH($J8,SorP!$B$1:$B$6230,0))))</f>
        <v>CA-QC</v>
      </c>
      <c r="U8" s="241"/>
      <c r="V8" s="275">
        <f ca="1">IF(C8="",NA(),MATCH($B8&amp;$C8,'Smelter Look-up'!$J:$J,0))</f>
        <v>43</v>
      </c>
      <c r="W8" s="276"/>
      <c r="X8" s="276">
        <f t="shared" ca="1" si="4"/>
        <v>0</v>
      </c>
      <c r="Y8" s="276"/>
      <c r="Z8" s="276"/>
      <c r="AB8" s="278" t="str">
        <f t="shared" ca="1" si="5"/>
        <v>GoldCCR Refinery - Glencore Canada Corporation</v>
      </c>
    </row>
    <row r="9" spans="1:34" s="277" customFormat="1" ht="20.100000000000001" customHeight="1">
      <c r="A9" s="332" t="s">
        <v>725</v>
      </c>
      <c r="B9" s="217" t="str">
        <f ca="1">IF(LEN(A9)=0,"",INDEX('Smelter Look-up'!$A:$A,MATCH($A9,'Smelter Look-up'!$E:$E,0)))</f>
        <v>Gold</v>
      </c>
      <c r="C9" s="221" t="str">
        <f ca="1">IF(LEN(A9)=0,"",INDEX('Smelter Look-up'!$C:$C,MATCH($A9,'Smelter Look-up'!$E:$E,0)))</f>
        <v>Metalurgica Met-Mex Penoles S.A. De C.V.</v>
      </c>
      <c r="D9" s="283"/>
      <c r="E9" s="217" t="str">
        <f ca="1">IF(ISERROR($V9),"",OFFSET('Smelter Look-up'!$D$4,$V9-4,0)&amp;"")</f>
        <v>MEXICO</v>
      </c>
      <c r="F9" s="217" t="str">
        <f ca="1">IF(ISERROR($V9),"",OFFSET('Smelter Look-up'!$E$4,$V9-4,0))</f>
        <v>CID001161</v>
      </c>
      <c r="G9" s="217" t="str">
        <f ca="1">IF(C9=$X$4,"Enter smelter details",IF(ISERROR($V9),"",OFFSET('Smelter Look-up'!$F$4,$V9-4,0)))</f>
        <v>RMI</v>
      </c>
      <c r="H9" s="218">
        <f ca="1">IF(ISERROR($V9),"",OFFSET('Smelter Look-up'!$G$4,$V9-4,0))</f>
        <v>0</v>
      </c>
      <c r="I9" s="219" t="str">
        <f ca="1">IF(ISERROR($V9),"",OFFSET('Smelter Look-up'!$H$4,$V9-4,0))</f>
        <v>Torreon</v>
      </c>
      <c r="J9" s="219" t="str">
        <f ca="1">IF(ISERROR($V9),"",OFFSET('Smelter Look-up'!$I$4,$V9-4,0))</f>
        <v>Coahuila de Zaragoza</v>
      </c>
      <c r="K9" s="273"/>
      <c r="L9" s="273"/>
      <c r="M9" s="273"/>
      <c r="N9" s="273"/>
      <c r="O9" s="273"/>
      <c r="P9" s="220"/>
      <c r="Q9" s="274"/>
      <c r="R9" s="217" t="str">
        <f ca="1">IF(ISERROR($V9),"",OFFSET('Smelter Look-up'!$C$4,$V9-4,0)&amp;"")</f>
        <v>Metalurgica Met-Mex Penoles S.A. De C.V.</v>
      </c>
      <c r="S9" s="225" t="str">
        <f t="shared" ca="1" si="3"/>
        <v>MX</v>
      </c>
      <c r="T9" s="225" t="str">
        <f ca="1">IF(B9="","",IF(ISERROR(MATCH($J9,SorP!$B$1:$B$6230,0)),"",INDIRECT("'SorP'!$A$"&amp;MATCH($J9,SorP!$B$1:$B$6230,0))))</f>
        <v>MX-COA</v>
      </c>
      <c r="U9" s="241"/>
      <c r="V9" s="275">
        <f ca="1">IF(C9="",NA(),MATCH($B9&amp;$C9,'Smelter Look-up'!$J:$J,0))</f>
        <v>160</v>
      </c>
      <c r="W9" s="276"/>
      <c r="X9" s="276">
        <f t="shared" ca="1" si="4"/>
        <v>0</v>
      </c>
      <c r="Y9" s="276"/>
      <c r="Z9" s="276"/>
      <c r="AB9" s="278" t="str">
        <f t="shared" ca="1" si="5"/>
        <v>GoldMetalurgica Met-Mex Penoles S.A. De C.V.</v>
      </c>
    </row>
    <row r="10" spans="1:34" s="277" customFormat="1" ht="20.100000000000001" customHeight="1">
      <c r="A10" s="332" t="s">
        <v>696</v>
      </c>
      <c r="B10" s="217" t="str">
        <f ca="1">IF(LEN(A10)=0,"",INDEX('Smelter Look-up'!$A:$A,MATCH($A10,'Smelter Look-up'!$E:$E,0)))</f>
        <v>Gold</v>
      </c>
      <c r="C10" s="221" t="str">
        <f ca="1">IF(LEN(A10)=0,"",INDEX('Smelter Look-up'!$C:$C,MATCH($A10,'Smelter Look-up'!$E:$E,0)))</f>
        <v>Heraeus Precious Metals GmbH &amp; Co. KG</v>
      </c>
      <c r="D10" s="283"/>
      <c r="E10" s="217" t="str">
        <f ca="1">IF(ISERROR($V10),"",OFFSET('Smelter Look-up'!$D$4,$V10-4,0)&amp;"")</f>
        <v>GERMANY</v>
      </c>
      <c r="F10" s="217" t="str">
        <f ca="1">IF(ISERROR($V10),"",OFFSET('Smelter Look-up'!$E$4,$V10-4,0))</f>
        <v>CID000711</v>
      </c>
      <c r="G10" s="217" t="str">
        <f ca="1">IF(C10=$X$4,"Enter smelter details",IF(ISERROR($V10),"",OFFSET('Smelter Look-up'!$F$4,$V10-4,0)))</f>
        <v>RMI</v>
      </c>
      <c r="H10" s="218">
        <f ca="1">IF(ISERROR($V10),"",OFFSET('Smelter Look-up'!$G$4,$V10-4,0))</f>
        <v>0</v>
      </c>
      <c r="I10" s="219" t="str">
        <f ca="1">IF(ISERROR($V10),"",OFFSET('Smelter Look-up'!$H$4,$V10-4,0))</f>
        <v>Hanau</v>
      </c>
      <c r="J10" s="219" t="str">
        <f ca="1">IF(ISERROR($V10),"",OFFSET('Smelter Look-up'!$I$4,$V10-4,0))</f>
        <v>Hessen</v>
      </c>
      <c r="K10" s="273"/>
      <c r="L10" s="273"/>
      <c r="M10" s="273"/>
      <c r="N10" s="273"/>
      <c r="O10" s="273"/>
      <c r="P10" s="220"/>
      <c r="Q10" s="274"/>
      <c r="R10" s="217" t="str">
        <f ca="1">IF(ISERROR($V10),"",OFFSET('Smelter Look-up'!$C$4,$V10-4,0)&amp;"")</f>
        <v>Heraeus Precious Metals GmbH &amp; Co. KG</v>
      </c>
      <c r="S10" s="225" t="str">
        <f t="shared" ca="1" si="3"/>
        <v>DE</v>
      </c>
      <c r="T10" s="225" t="str">
        <f ca="1">IF(B10="","",IF(ISERROR(MATCH($J10,SorP!$B$1:$B$6230,0)),"",INDIRECT("'SorP'!$A$"&amp;MATCH($J10,SorP!$B$1:$B$6230,0))))</f>
        <v>DE-HE</v>
      </c>
      <c r="U10" s="241"/>
      <c r="V10" s="275">
        <f ca="1">IF(C10="",NA(),MATCH($B10&amp;$C10,'Smelter Look-up'!$J:$J,0))</f>
        <v>98</v>
      </c>
      <c r="W10" s="276"/>
      <c r="X10" s="276">
        <f t="shared" ca="1" si="4"/>
        <v>0</v>
      </c>
      <c r="Y10" s="276"/>
      <c r="Z10" s="276"/>
      <c r="AB10" s="278" t="str">
        <f t="shared" ca="1" si="5"/>
        <v>GoldHeraeus Precious Metals GmbH &amp; Co. KG</v>
      </c>
    </row>
    <row r="11" spans="1:34" s="277" customFormat="1" ht="20.100000000000001" customHeight="1">
      <c r="A11" s="332" t="s">
        <v>705</v>
      </c>
      <c r="B11" s="217" t="str">
        <f ca="1">IF(LEN(A11)=0,"",INDEX('Smelter Look-up'!$A:$A,MATCH($A11,'Smelter Look-up'!$E:$E,0)))</f>
        <v>Gold</v>
      </c>
      <c r="C11" s="221" t="str">
        <f ca="1">IF(LEN(A11)=0,"",INDEX('Smelter Look-up'!$C:$C,MATCH($A11,'Smelter Look-up'!$E:$E,0)))</f>
        <v>Asahi Refining Canada Ltd.</v>
      </c>
      <c r="D11" s="283"/>
      <c r="E11" s="217" t="str">
        <f ca="1">IF(ISERROR($V11),"",OFFSET('Smelter Look-up'!$D$4,$V11-4,0)&amp;"")</f>
        <v>CANADA</v>
      </c>
      <c r="F11" s="217" t="str">
        <f ca="1">IF(ISERROR($V11),"",OFFSET('Smelter Look-up'!$E$4,$V11-4,0))</f>
        <v>CID000924</v>
      </c>
      <c r="G11" s="217" t="str">
        <f ca="1">IF(C11=$X$4,"Enter smelter details",IF(ISERROR($V11),"",OFFSET('Smelter Look-up'!$F$4,$V11-4,0)))</f>
        <v>RMI</v>
      </c>
      <c r="H11" s="218">
        <f ca="1">IF(ISERROR($V11),"",OFFSET('Smelter Look-up'!$G$4,$V11-4,0))</f>
        <v>0</v>
      </c>
      <c r="I11" s="219" t="str">
        <f ca="1">IF(ISERROR($V11),"",OFFSET('Smelter Look-up'!$H$4,$V11-4,0))</f>
        <v>Brampton</v>
      </c>
      <c r="J11" s="219" t="str">
        <f ca="1">IF(ISERROR($V11),"",OFFSET('Smelter Look-up'!$I$4,$V11-4,0))</f>
        <v>Ontario</v>
      </c>
      <c r="K11" s="273"/>
      <c r="L11" s="273"/>
      <c r="M11" s="273"/>
      <c r="N11" s="273"/>
      <c r="O11" s="273"/>
      <c r="P11" s="220"/>
      <c r="Q11" s="274"/>
      <c r="R11" s="217" t="str">
        <f ca="1">IF(ISERROR($V11),"",OFFSET('Smelter Look-up'!$C$4,$V11-4,0)&amp;"")</f>
        <v>Asahi Refining Canada Ltd.</v>
      </c>
      <c r="S11" s="225" t="str">
        <f t="shared" ca="1" si="3"/>
        <v>CA</v>
      </c>
      <c r="T11" s="225" t="str">
        <f ca="1">IF(B11="","",IF(ISERROR(MATCH($J11,SorP!$B$1:$B$6230,0)),"",INDIRECT("'SorP'!$A$"&amp;MATCH($J11,SorP!$B$1:$B$6230,0))))</f>
        <v>CA-ON</v>
      </c>
      <c r="U11" s="241"/>
      <c r="V11" s="275">
        <f ca="1">IF(C11="",NA(),MATCH($B11&amp;$C11,'Smelter Look-up'!$J:$J,0))</f>
        <v>25</v>
      </c>
      <c r="W11" s="276"/>
      <c r="X11" s="276">
        <f t="shared" ca="1" si="4"/>
        <v>0</v>
      </c>
      <c r="Y11" s="276"/>
      <c r="Z11" s="276"/>
      <c r="AB11" s="278" t="str">
        <f t="shared" ca="1" si="5"/>
        <v>GoldAsahi Refining Canada Ltd.</v>
      </c>
    </row>
    <row r="12" spans="1:34" s="277" customFormat="1" ht="20.100000000000001" customHeight="1">
      <c r="A12" s="332" t="s">
        <v>754</v>
      </c>
      <c r="B12" s="217" t="str">
        <f ca="1">IF(LEN(A12)=0,"",INDEX('Smelter Look-up'!$A:$A,MATCH($A12,'Smelter Look-up'!$E:$E,0)))</f>
        <v>Gold</v>
      </c>
      <c r="C12" s="221" t="str">
        <f ca="1">IF(LEN(A12)=0,"",INDEX('Smelter Look-up'!$C:$C,MATCH($A12,'Smelter Look-up'!$E:$E,0)))</f>
        <v>Umicore Brasil Ltda.</v>
      </c>
      <c r="D12" s="283"/>
      <c r="E12" s="217" t="str">
        <f ca="1">IF(ISERROR($V12),"",OFFSET('Smelter Look-up'!$D$4,$V12-4,0)&amp;"")</f>
        <v>BRAZIL</v>
      </c>
      <c r="F12" s="217" t="str">
        <f ca="1">IF(ISERROR($V12),"",OFFSET('Smelter Look-up'!$E$4,$V12-4,0))</f>
        <v>CID001977</v>
      </c>
      <c r="G12" s="217" t="str">
        <f ca="1">IF(C12=$X$4,"Enter smelter details",IF(ISERROR($V12),"",OFFSET('Smelter Look-up'!$F$4,$V12-4,0)))</f>
        <v>RMI</v>
      </c>
      <c r="H12" s="218">
        <f ca="1">IF(ISERROR($V12),"",OFFSET('Smelter Look-up'!$G$4,$V12-4,0))</f>
        <v>0</v>
      </c>
      <c r="I12" s="219" t="str">
        <f ca="1">IF(ISERROR($V12),"",OFFSET('Smelter Look-up'!$H$4,$V12-4,0))</f>
        <v>Guarulhos</v>
      </c>
      <c r="J12" s="219" t="str">
        <f ca="1">IF(ISERROR($V12),"",OFFSET('Smelter Look-up'!$I$4,$V12-4,0))</f>
        <v>São Paulo</v>
      </c>
      <c r="K12" s="273"/>
      <c r="L12" s="273"/>
      <c r="M12" s="273"/>
      <c r="N12" s="273"/>
      <c r="O12" s="273"/>
      <c r="P12" s="220"/>
      <c r="Q12" s="274"/>
      <c r="R12" s="217" t="str">
        <f ca="1">IF(ISERROR($V12),"",OFFSET('Smelter Look-up'!$C$4,$V12-4,0)&amp;"")</f>
        <v>Umicore Brasil Ltda.</v>
      </c>
      <c r="S12" s="225" t="str">
        <f t="shared" ca="1" si="3"/>
        <v>BR</v>
      </c>
      <c r="T12" s="225" t="str">
        <f ca="1">IF(B12="","",IF(ISERROR(MATCH($J12,SorP!$B$1:$B$6230,0)),"",INDIRECT("'SorP'!$A$"&amp;MATCH($J12,SorP!$B$1:$B$6230,0))))</f>
        <v>BR-SP</v>
      </c>
      <c r="U12" s="241"/>
      <c r="V12" s="275">
        <f ca="1">IF(C12="",NA(),MATCH($B12&amp;$C12,'Smelter Look-up'!$J:$J,0))</f>
        <v>264</v>
      </c>
      <c r="W12" s="276"/>
      <c r="X12" s="276">
        <f t="shared" ca="1" si="4"/>
        <v>0</v>
      </c>
      <c r="Y12" s="276"/>
      <c r="Z12" s="276"/>
      <c r="AB12" s="278" t="str">
        <f t="shared" ca="1" si="5"/>
        <v>GoldUmicore Brasil Ltda.</v>
      </c>
    </row>
    <row r="13" spans="1:34" s="277" customFormat="1" ht="20.100000000000001" customHeight="1">
      <c r="A13" s="332" t="s">
        <v>756</v>
      </c>
      <c r="B13" s="217" t="str">
        <f ca="1">IF(LEN(A13)=0,"",INDEX('Smelter Look-up'!$A:$A,MATCH($A13,'Smelter Look-up'!$E:$E,0)))</f>
        <v>Gold</v>
      </c>
      <c r="C13" s="221" t="str">
        <f ca="1">IF(LEN(A13)=0,"",INDEX('Smelter Look-up'!$C:$C,MATCH($A13,'Smelter Look-up'!$E:$E,0)))</f>
        <v>United Precious Metal Refining, Inc.</v>
      </c>
      <c r="D13" s="283"/>
      <c r="E13" s="217" t="str">
        <f ca="1">IF(ISERROR($V13),"",OFFSET('Smelter Look-up'!$D$4,$V13-4,0)&amp;"")</f>
        <v>UNITED STATES OF AMERICA</v>
      </c>
      <c r="F13" s="217" t="str">
        <f ca="1">IF(ISERROR($V13),"",OFFSET('Smelter Look-up'!$E$4,$V13-4,0))</f>
        <v>CID001993</v>
      </c>
      <c r="G13" s="217" t="str">
        <f ca="1">IF(C13=$X$4,"Enter smelter details",IF(ISERROR($V13),"",OFFSET('Smelter Look-up'!$F$4,$V13-4,0)))</f>
        <v>RMI</v>
      </c>
      <c r="H13" s="218">
        <f ca="1">IF(ISERROR($V13),"",OFFSET('Smelter Look-up'!$G$4,$V13-4,0))</f>
        <v>0</v>
      </c>
      <c r="I13" s="219" t="str">
        <f ca="1">IF(ISERROR($V13),"",OFFSET('Smelter Look-up'!$H$4,$V13-4,0))</f>
        <v>Alden</v>
      </c>
      <c r="J13" s="219" t="str">
        <f ca="1">IF(ISERROR($V13),"",OFFSET('Smelter Look-up'!$I$4,$V13-4,0))</f>
        <v>New York</v>
      </c>
      <c r="K13" s="273"/>
      <c r="L13" s="273"/>
      <c r="M13" s="273"/>
      <c r="N13" s="273"/>
      <c r="O13" s="273"/>
      <c r="P13" s="220"/>
      <c r="Q13" s="274"/>
      <c r="R13" s="217" t="str">
        <f ca="1">IF(ISERROR($V13),"",OFFSET('Smelter Look-up'!$C$4,$V13-4,0)&amp;"")</f>
        <v>United Precious Metal Refining, Inc.</v>
      </c>
      <c r="S13" s="225" t="str">
        <f t="shared" ca="1" si="3"/>
        <v>US</v>
      </c>
      <c r="T13" s="225" t="str">
        <f ca="1">IF(B13="","",IF(ISERROR(MATCH($J13,SorP!$B$1:$B$6230,0)),"",INDIRECT("'SorP'!$A$"&amp;MATCH($J13,SorP!$B$1:$B$6230,0))))</f>
        <v>US-NY</v>
      </c>
      <c r="U13" s="241"/>
      <c r="V13" s="275">
        <f ca="1">IF(C13="",NA(),MATCH($B13&amp;$C13,'Smelter Look-up'!$J:$J,0))</f>
        <v>268</v>
      </c>
      <c r="W13" s="276"/>
      <c r="X13" s="276">
        <f t="shared" ca="1" si="4"/>
        <v>0</v>
      </c>
      <c r="Y13" s="276"/>
      <c r="Z13" s="276"/>
      <c r="AB13" s="278" t="str">
        <f t="shared" ca="1" si="5"/>
        <v>GoldUnited Precious Metal Refining, Inc.</v>
      </c>
    </row>
    <row r="14" spans="1:34" s="277" customFormat="1" ht="20.100000000000001" customHeight="1">
      <c r="A14" s="332" t="s">
        <v>755</v>
      </c>
      <c r="B14" s="217" t="str">
        <f ca="1">IF(LEN(A14)=0,"",INDEX('Smelter Look-up'!$A:$A,MATCH($A14,'Smelter Look-up'!$E:$E,0)))</f>
        <v>Gold</v>
      </c>
      <c r="C14" s="221" t="str">
        <f ca="1">IF(LEN(A14)=0,"",INDEX('Smelter Look-up'!$C:$C,MATCH($A14,'Smelter Look-up'!$E:$E,0)))</f>
        <v>Umicore S.A. Business Unit Precious Metals Refining</v>
      </c>
      <c r="D14" s="283"/>
      <c r="E14" s="217" t="str">
        <f ca="1">IF(ISERROR($V14),"",OFFSET('Smelter Look-up'!$D$4,$V14-4,0)&amp;"")</f>
        <v>BELGIUM</v>
      </c>
      <c r="F14" s="217" t="str">
        <f ca="1">IF(ISERROR($V14),"",OFFSET('Smelter Look-up'!$E$4,$V14-4,0))</f>
        <v>CID001980</v>
      </c>
      <c r="G14" s="217" t="str">
        <f ca="1">IF(C14=$X$4,"Enter smelter details",IF(ISERROR($V14),"",OFFSET('Smelter Look-up'!$F$4,$V14-4,0)))</f>
        <v>RMI</v>
      </c>
      <c r="H14" s="218">
        <f ca="1">IF(ISERROR($V14),"",OFFSET('Smelter Look-up'!$G$4,$V14-4,0))</f>
        <v>0</v>
      </c>
      <c r="I14" s="219" t="str">
        <f ca="1">IF(ISERROR($V14),"",OFFSET('Smelter Look-up'!$H$4,$V14-4,0))</f>
        <v>Hoboken</v>
      </c>
      <c r="J14" s="219" t="str">
        <f ca="1">IF(ISERROR($V14),"",OFFSET('Smelter Look-up'!$I$4,$V14-4,0))</f>
        <v>Antwerpen</v>
      </c>
      <c r="K14" s="273"/>
      <c r="L14" s="273"/>
      <c r="M14" s="273"/>
      <c r="N14" s="273"/>
      <c r="O14" s="273"/>
      <c r="P14" s="220"/>
      <c r="Q14" s="274"/>
      <c r="R14" s="217" t="str">
        <f ca="1">IF(ISERROR($V14),"",OFFSET('Smelter Look-up'!$C$4,$V14-4,0)&amp;"")</f>
        <v>Umicore S.A. Business Unit Precious Metals Refining</v>
      </c>
      <c r="S14" s="225" t="str">
        <f t="shared" ca="1" si="3"/>
        <v>BE</v>
      </c>
      <c r="T14" s="225" t="str">
        <f ca="1">IF(B14="","",IF(ISERROR(MATCH($J14,SorP!$B$1:$B$6230,0)),"",INDIRECT("'SorP'!$A$"&amp;MATCH($J14,SorP!$B$1:$B$6230,0))))</f>
        <v>BE-VAN</v>
      </c>
      <c r="U14" s="241"/>
      <c r="V14" s="275">
        <f ca="1">IF(C14="",NA(),MATCH($B14&amp;$C14,'Smelter Look-up'!$J:$J,0))</f>
        <v>267</v>
      </c>
      <c r="W14" s="276"/>
      <c r="X14" s="276">
        <f t="shared" ca="1" si="4"/>
        <v>0</v>
      </c>
      <c r="Y14" s="276"/>
      <c r="Z14" s="276"/>
      <c r="AB14" s="278" t="str">
        <f t="shared" ca="1" si="5"/>
        <v>GoldUmicore S.A. Business Unit Precious Metals Refining</v>
      </c>
    </row>
    <row r="15" spans="1:34" s="277" customFormat="1" ht="20.100000000000001" customHeight="1">
      <c r="A15" s="332" t="s">
        <v>748</v>
      </c>
      <c r="B15" s="217" t="str">
        <f ca="1">IF(LEN(A15)=0,"",INDEX('Smelter Look-up'!$A:$A,MATCH($A15,'Smelter Look-up'!$E:$E,0)))</f>
        <v>Gold</v>
      </c>
      <c r="C15" s="221" t="str">
        <f ca="1">IF(LEN(A15)=0,"",INDEX('Smelter Look-up'!$C:$C,MATCH($A15,'Smelter Look-up'!$E:$E,0)))</f>
        <v>Tanaka Kikinzoku Kogyo K.K.</v>
      </c>
      <c r="D15" s="283"/>
      <c r="E15" s="217" t="str">
        <f ca="1">IF(ISERROR($V15),"",OFFSET('Smelter Look-up'!$D$4,$V15-4,0)&amp;"")</f>
        <v>JAPAN</v>
      </c>
      <c r="F15" s="217" t="str">
        <f ca="1">IF(ISERROR($V15),"",OFFSET('Smelter Look-up'!$E$4,$V15-4,0))</f>
        <v>CID001875</v>
      </c>
      <c r="G15" s="217" t="str">
        <f ca="1">IF(C15=$X$4,"Enter smelter details",IF(ISERROR($V15),"",OFFSET('Smelter Look-up'!$F$4,$V15-4,0)))</f>
        <v>RMI</v>
      </c>
      <c r="H15" s="218">
        <f ca="1">IF(ISERROR($V15),"",OFFSET('Smelter Look-up'!$G$4,$V15-4,0))</f>
        <v>0</v>
      </c>
      <c r="I15" s="219" t="str">
        <f ca="1">IF(ISERROR($V15),"",OFFSET('Smelter Look-up'!$H$4,$V15-4,0))</f>
        <v>Hiratsuka</v>
      </c>
      <c r="J15" s="219" t="str">
        <f ca="1">IF(ISERROR($V15),"",OFFSET('Smelter Look-up'!$I$4,$V15-4,0))</f>
        <v>Kanagawa</v>
      </c>
      <c r="K15" s="273"/>
      <c r="L15" s="273"/>
      <c r="M15" s="273"/>
      <c r="N15" s="273"/>
      <c r="O15" s="273"/>
      <c r="P15" s="220"/>
      <c r="Q15" s="274"/>
      <c r="R15" s="217" t="str">
        <f ca="1">IF(ISERROR($V15),"",OFFSET('Smelter Look-up'!$C$4,$V15-4,0)&amp;"")</f>
        <v>Tanaka Kikinzoku Kogyo K.K.</v>
      </c>
      <c r="S15" s="225" t="str">
        <f t="shared" ca="1" si="3"/>
        <v>JP</v>
      </c>
      <c r="T15" s="225" t="str">
        <f ca="1">IF(B15="","",IF(ISERROR(MATCH($J15,SorP!$B$1:$B$6230,0)),"",INDIRECT("'SorP'!$A$"&amp;MATCH($J15,SorP!$B$1:$B$6230,0))))</f>
        <v>JP-14</v>
      </c>
      <c r="U15" s="241"/>
      <c r="V15" s="275">
        <f ca="1">IF(C15="",NA(),MATCH($B15&amp;$C15,'Smelter Look-up'!$J:$J,0))</f>
        <v>252</v>
      </c>
      <c r="W15" s="276"/>
      <c r="X15" s="276">
        <f t="shared" ca="1" si="4"/>
        <v>0</v>
      </c>
      <c r="Y15" s="276"/>
      <c r="Z15" s="276"/>
      <c r="AB15" s="278" t="str">
        <f t="shared" ca="1" si="5"/>
        <v>GoldTanaka Kikinzoku Kogyo K.K.</v>
      </c>
    </row>
    <row r="16" spans="1:34" s="277" customFormat="1" ht="20.100000000000001" customHeight="1">
      <c r="A16" s="332" t="s">
        <v>666</v>
      </c>
      <c r="B16" s="217" t="str">
        <f ca="1">IF(LEN(A16)=0,"",INDEX('Smelter Look-up'!$A:$A,MATCH($A16,'Smelter Look-up'!$E:$E,0)))</f>
        <v>Gold</v>
      </c>
      <c r="C16" s="221" t="str">
        <f ca="1">IF(LEN(A16)=0,"",INDEX('Smelter Look-up'!$C:$C,MATCH($A16,'Smelter Look-up'!$E:$E,0)))</f>
        <v>Aida Chemical Industries Co., Ltd.</v>
      </c>
      <c r="D16" s="283"/>
      <c r="E16" s="217" t="str">
        <f ca="1">IF(ISERROR($V16),"",OFFSET('Smelter Look-up'!$D$4,$V16-4,0)&amp;"")</f>
        <v>JAPAN</v>
      </c>
      <c r="F16" s="217" t="str">
        <f ca="1">IF(ISERROR($V16),"",OFFSET('Smelter Look-up'!$E$4,$V16-4,0))</f>
        <v>CID000019</v>
      </c>
      <c r="G16" s="217" t="str">
        <f ca="1">IF(C16=$X$4,"Enter smelter details",IF(ISERROR($V16),"",OFFSET('Smelter Look-up'!$F$4,$V16-4,0)))</f>
        <v>RMI</v>
      </c>
      <c r="H16" s="218">
        <f ca="1">IF(ISERROR($V16),"",OFFSET('Smelter Look-up'!$G$4,$V16-4,0))</f>
        <v>0</v>
      </c>
      <c r="I16" s="219" t="str">
        <f ca="1">IF(ISERROR($V16),"",OFFSET('Smelter Look-up'!$H$4,$V16-4,0))</f>
        <v>Fuchu</v>
      </c>
      <c r="J16" s="219" t="str">
        <f ca="1">IF(ISERROR($V16),"",OFFSET('Smelter Look-up'!$I$4,$V16-4,0))</f>
        <v>Tokyo</v>
      </c>
      <c r="K16" s="273"/>
      <c r="L16" s="273"/>
      <c r="M16" s="273"/>
      <c r="N16" s="273"/>
      <c r="O16" s="273"/>
      <c r="P16" s="220"/>
      <c r="Q16" s="274"/>
      <c r="R16" s="217" t="str">
        <f ca="1">IF(ISERROR($V16),"",OFFSET('Smelter Look-up'!$C$4,$V16-4,0)&amp;"")</f>
        <v>Aida Chemical Industries Co., Ltd.</v>
      </c>
      <c r="S16" s="225" t="str">
        <f t="shared" ca="1" si="3"/>
        <v>JP</v>
      </c>
      <c r="T16" s="225" t="str">
        <f ca="1">IF(B16="","",IF(ISERROR(MATCH($J16,SorP!$B$1:$B$6230,0)),"",INDIRECT("'SorP'!$A$"&amp;MATCH($J16,SorP!$B$1:$B$6230,0))))</f>
        <v>JP-13</v>
      </c>
      <c r="U16" s="241"/>
      <c r="V16" s="275">
        <f ca="1">IF(C16="",NA(),MATCH($B16&amp;$C16,'Smelter Look-up'!$J:$J,0))</f>
        <v>11</v>
      </c>
      <c r="W16" s="276"/>
      <c r="X16" s="276">
        <f t="shared" ca="1" si="4"/>
        <v>0</v>
      </c>
      <c r="Y16" s="276"/>
      <c r="Z16" s="276"/>
      <c r="AB16" s="278" t="str">
        <f t="shared" ca="1" si="5"/>
        <v>GoldAida Chemical Industries Co., Ltd.</v>
      </c>
    </row>
    <row r="17" spans="1:28" s="277" customFormat="1" ht="20.100000000000001" customHeight="1">
      <c r="A17" s="332" t="s">
        <v>667</v>
      </c>
      <c r="B17" s="217" t="str">
        <f ca="1">IF(LEN(A17)=0,"",INDEX('Smelter Look-up'!$A:$A,MATCH($A17,'Smelter Look-up'!$E:$E,0)))</f>
        <v>Gold</v>
      </c>
      <c r="C17" s="221" t="str">
        <f ca="1">IF(LEN(A17)=0,"",INDEX('Smelter Look-up'!$C:$C,MATCH($A17,'Smelter Look-up'!$E:$E,0)))</f>
        <v>Allgemeine Gold-und Silberscheideanstalt A.G.</v>
      </c>
      <c r="D17" s="283"/>
      <c r="E17" s="217" t="str">
        <f ca="1">IF(ISERROR($V17),"",OFFSET('Smelter Look-up'!$D$4,$V17-4,0)&amp;"")</f>
        <v>GERMANY</v>
      </c>
      <c r="F17" s="217" t="str">
        <f ca="1">IF(ISERROR($V17),"",OFFSET('Smelter Look-up'!$E$4,$V17-4,0))</f>
        <v>CID000035</v>
      </c>
      <c r="G17" s="217" t="str">
        <f ca="1">IF(C17=$X$4,"Enter smelter details",IF(ISERROR($V17),"",OFFSET('Smelter Look-up'!$F$4,$V17-4,0)))</f>
        <v>RMI</v>
      </c>
      <c r="H17" s="218">
        <f ca="1">IF(ISERROR($V17),"",OFFSET('Smelter Look-up'!$G$4,$V17-4,0))</f>
        <v>0</v>
      </c>
      <c r="I17" s="219" t="str">
        <f ca="1">IF(ISERROR($V17),"",OFFSET('Smelter Look-up'!$H$4,$V17-4,0))</f>
        <v>Pforzheim</v>
      </c>
      <c r="J17" s="219" t="str">
        <f ca="1">IF(ISERROR($V17),"",OFFSET('Smelter Look-up'!$I$4,$V17-4,0))</f>
        <v>Baden-Württemberg</v>
      </c>
      <c r="K17" s="273"/>
      <c r="L17" s="273"/>
      <c r="M17" s="273"/>
      <c r="N17" s="273"/>
      <c r="O17" s="273"/>
      <c r="P17" s="220"/>
      <c r="Q17" s="274"/>
      <c r="R17" s="217" t="str">
        <f ca="1">IF(ISERROR($V17),"",OFFSET('Smelter Look-up'!$C$4,$V17-4,0)&amp;"")</f>
        <v>Allgemeine Gold-und Silberscheideanstalt A.G.</v>
      </c>
      <c r="S17" s="225" t="str">
        <f t="shared" ca="1" si="3"/>
        <v>DE</v>
      </c>
      <c r="T17" s="225" t="str">
        <f ca="1">IF(B17="","",IF(ISERROR(MATCH($J17,SorP!$B$1:$B$6230,0)),"",INDIRECT("'SorP'!$A$"&amp;MATCH($J17,SorP!$B$1:$B$6230,0))))</f>
        <v>DE-BW</v>
      </c>
      <c r="U17" s="241"/>
      <c r="V17" s="275">
        <f ca="1">IF(C17="",NA(),MATCH($B17&amp;$C17,'Smelter Look-up'!$J:$J,0))</f>
        <v>14</v>
      </c>
      <c r="W17" s="276"/>
      <c r="X17" s="276">
        <f t="shared" ca="1" si="4"/>
        <v>0</v>
      </c>
      <c r="Y17" s="276"/>
      <c r="Z17" s="276"/>
      <c r="AB17" s="278" t="str">
        <f t="shared" ca="1" si="5"/>
        <v>GoldAllgemeine Gold-und Silberscheideanstalt A.G.</v>
      </c>
    </row>
    <row r="18" spans="1:28" s="277" customFormat="1" ht="20.100000000000001" customHeight="1">
      <c r="A18" s="216" t="s">
        <v>669</v>
      </c>
      <c r="B18" s="217" t="str">
        <f ca="1">IF(LEN(A18)=0,"",INDEX('Smelter Look-up'!$A:$A,MATCH($A18,'Smelter Look-up'!$E:$E,0)))</f>
        <v>Gold</v>
      </c>
      <c r="C18" s="221" t="str">
        <f ca="1">IF(LEN(A18)=0,"",INDEX('Smelter Look-up'!$C:$C,MATCH($A18,'Smelter Look-up'!$E:$E,0)))</f>
        <v>AngloGold Ashanti Corrego do Sitio Mineracao</v>
      </c>
      <c r="D18" s="283"/>
      <c r="E18" s="217" t="str">
        <f ca="1">IF(ISERROR($V18),"",OFFSET('Smelter Look-up'!$D$4,$V18-4,0)&amp;"")</f>
        <v>BRAZIL</v>
      </c>
      <c r="F18" s="217" t="str">
        <f ca="1">IF(ISERROR($V18),"",OFFSET('Smelter Look-up'!$E$4,$V18-4,0))</f>
        <v>CID000058</v>
      </c>
      <c r="G18" s="217" t="str">
        <f ca="1">IF(C18=$X$4,"Enter smelter details",IF(ISERROR($V18),"",OFFSET('Smelter Look-up'!$F$4,$V18-4,0)))</f>
        <v>RMI</v>
      </c>
      <c r="H18" s="218">
        <f ca="1">IF(ISERROR($V18),"",OFFSET('Smelter Look-up'!$G$4,$V18-4,0))</f>
        <v>0</v>
      </c>
      <c r="I18" s="219" t="str">
        <f ca="1">IF(ISERROR($V18),"",OFFSET('Smelter Look-up'!$H$4,$V18-4,0))</f>
        <v>Nova Lima</v>
      </c>
      <c r="J18" s="219" t="str">
        <f ca="1">IF(ISERROR($V18),"",OFFSET('Smelter Look-up'!$I$4,$V18-4,0))</f>
        <v>Minas Gerais</v>
      </c>
      <c r="K18" s="273"/>
      <c r="L18" s="273"/>
      <c r="M18" s="273"/>
      <c r="N18" s="273"/>
      <c r="O18" s="273"/>
      <c r="P18" s="220"/>
      <c r="Q18" s="274"/>
      <c r="R18" s="217" t="str">
        <f ca="1">IF(ISERROR($V18),"",OFFSET('Smelter Look-up'!$C$4,$V18-4,0)&amp;"")</f>
        <v>AngloGold Ashanti Corrego do Sitio Mineracao</v>
      </c>
      <c r="S18" s="225" t="str">
        <f t="shared" ca="1" si="3"/>
        <v>BR</v>
      </c>
      <c r="T18" s="225" t="str">
        <f ca="1">IF(B18="","",IF(ISERROR(MATCH($J18,SorP!$B$1:$B$6230,0)),"",INDIRECT("'SorP'!$A$"&amp;MATCH($J18,SorP!$B$1:$B$6230,0))))</f>
        <v>BR-MG</v>
      </c>
      <c r="U18" s="241"/>
      <c r="V18" s="275">
        <f ca="1">IF(C18="",NA(),MATCH($B18&amp;$C18,'Smelter Look-up'!$J:$J,0))</f>
        <v>18</v>
      </c>
      <c r="W18" s="276"/>
      <c r="X18" s="276">
        <f t="shared" ca="1" si="4"/>
        <v>0</v>
      </c>
      <c r="Y18" s="276"/>
      <c r="Z18" s="276"/>
      <c r="AB18" s="278" t="str">
        <f t="shared" ca="1" si="5"/>
        <v>GoldAngloGold Ashanti Corrego do Sitio Mineracao</v>
      </c>
    </row>
    <row r="19" spans="1:28" s="277" customFormat="1" ht="51">
      <c r="A19" s="216" t="s">
        <v>670</v>
      </c>
      <c r="B19" s="217" t="str">
        <f ca="1">IF(LEN(A19)=0,"",INDEX('Smelter Look-up'!$A:$A,MATCH($A19,'Smelter Look-up'!$E:$E,0)))</f>
        <v>Gold</v>
      </c>
      <c r="C19" s="221" t="str">
        <f ca="1">IF(LEN(A19)=0,"",INDEX('Smelter Look-up'!$C:$C,MATCH($A19,'Smelter Look-up'!$E:$E,0)))</f>
        <v>Argor-Heraeus S.A.</v>
      </c>
      <c r="D19" s="283"/>
      <c r="E19" s="217" t="str">
        <f ca="1">IF(ISERROR($V19),"",OFFSET('Smelter Look-up'!$D$4,$V19-4,0)&amp;"")</f>
        <v>SWITZERLAND</v>
      </c>
      <c r="F19" s="217" t="str">
        <f ca="1">IF(ISERROR($V19),"",OFFSET('Smelter Look-up'!$E$4,$V19-4,0))</f>
        <v>CID000077</v>
      </c>
      <c r="G19" s="217" t="str">
        <f ca="1">IF(C19=$X$4,"Enter smelter details",IF(ISERROR($V19),"",OFFSET('Smelter Look-up'!$F$4,$V19-4,0)))</f>
        <v>RMI</v>
      </c>
      <c r="H19" s="218">
        <f ca="1">IF(ISERROR($V19),"",OFFSET('Smelter Look-up'!$G$4,$V19-4,0))</f>
        <v>0</v>
      </c>
      <c r="I19" s="219" t="str">
        <f ca="1">IF(ISERROR($V19),"",OFFSET('Smelter Look-up'!$H$4,$V19-4,0))</f>
        <v>Mendrisio</v>
      </c>
      <c r="J19" s="219" t="str">
        <f ca="1">IF(ISERROR($V19),"",OFFSET('Smelter Look-up'!$I$4,$V19-4,0))</f>
        <v>Ticino</v>
      </c>
      <c r="K19" s="273"/>
      <c r="L19" s="273"/>
      <c r="M19" s="273"/>
      <c r="N19" s="273"/>
      <c r="O19" s="273"/>
      <c r="P19" s="220"/>
      <c r="Q19" s="274"/>
      <c r="R19" s="217" t="str">
        <f ca="1">IF(ISERROR($V19),"",OFFSET('Smelter Look-up'!$C$4,$V19-4,0)&amp;"")</f>
        <v>Argor-Heraeus S.A.</v>
      </c>
      <c r="S19" s="225" t="str">
        <f t="shared" ca="1" si="3"/>
        <v>CH</v>
      </c>
      <c r="T19" s="225" t="str">
        <f ca="1">IF(B19="","",IF(ISERROR(MATCH($J19,SorP!$B$1:$B$6230,0)),"",INDIRECT("'SorP'!$A$"&amp;MATCH($J19,SorP!$B$1:$B$6230,0))))</f>
        <v>CH-TI</v>
      </c>
      <c r="U19" s="241"/>
      <c r="V19" s="275">
        <f ca="1">IF(C19="",NA(),MATCH($B19&amp;$C19,'Smelter Look-up'!$J:$J,0))</f>
        <v>23</v>
      </c>
      <c r="W19" s="276"/>
      <c r="X19" s="276">
        <f t="shared" ca="1" si="4"/>
        <v>0</v>
      </c>
      <c r="Y19" s="276"/>
      <c r="Z19" s="276"/>
      <c r="AB19" s="278" t="str">
        <f t="shared" ca="1" si="5"/>
        <v>GoldArgor-Heraeus S.A.</v>
      </c>
    </row>
    <row r="20" spans="1:28" s="277" customFormat="1" ht="51">
      <c r="A20" s="216" t="s">
        <v>671</v>
      </c>
      <c r="B20" s="217" t="str">
        <f ca="1">IF(LEN(A20)=0,"",INDEX('Smelter Look-up'!$A:$A,MATCH($A20,'Smelter Look-up'!$E:$E,0)))</f>
        <v>Gold</v>
      </c>
      <c r="C20" s="221" t="str">
        <f ca="1">IF(LEN(A20)=0,"",INDEX('Smelter Look-up'!$C:$C,MATCH($A20,'Smelter Look-up'!$E:$E,0)))</f>
        <v>Asahi Pretec Corp.</v>
      </c>
      <c r="D20" s="283"/>
      <c r="E20" s="217" t="str">
        <f ca="1">IF(ISERROR($V20),"",OFFSET('Smelter Look-up'!$D$4,$V20-4,0)&amp;"")</f>
        <v>JAPAN</v>
      </c>
      <c r="F20" s="217" t="str">
        <f ca="1">IF(ISERROR($V20),"",OFFSET('Smelter Look-up'!$E$4,$V20-4,0))</f>
        <v>CID000082</v>
      </c>
      <c r="G20" s="217" t="str">
        <f ca="1">IF(C20=$X$4,"Enter smelter details",IF(ISERROR($V20),"",OFFSET('Smelter Look-up'!$F$4,$V20-4,0)))</f>
        <v>RMI</v>
      </c>
      <c r="H20" s="218">
        <f ca="1">IF(ISERROR($V20),"",OFFSET('Smelter Look-up'!$G$4,$V20-4,0))</f>
        <v>0</v>
      </c>
      <c r="I20" s="219" t="str">
        <f ca="1">IF(ISERROR($V20),"",OFFSET('Smelter Look-up'!$H$4,$V20-4,0))</f>
        <v>Kobe</v>
      </c>
      <c r="J20" s="219" t="str">
        <f ca="1">IF(ISERROR($V20),"",OFFSET('Smelter Look-up'!$I$4,$V20-4,0))</f>
        <v>Hyogo</v>
      </c>
      <c r="K20" s="273"/>
      <c r="L20" s="273"/>
      <c r="M20" s="273"/>
      <c r="N20" s="273"/>
      <c r="O20" s="273"/>
      <c r="P20" s="220"/>
      <c r="Q20" s="274"/>
      <c r="R20" s="217" t="str">
        <f ca="1">IF(ISERROR($V20),"",OFFSET('Smelter Look-up'!$C$4,$V20-4,0)&amp;"")</f>
        <v>Asahi Pretec Corp.</v>
      </c>
      <c r="S20" s="225" t="str">
        <f t="shared" ca="1" si="3"/>
        <v>JP</v>
      </c>
      <c r="T20" s="225" t="str">
        <f ca="1">IF(B20="","",IF(ISERROR(MATCH($J20,SorP!$B$1:$B$6230,0)),"",INDIRECT("'SorP'!$A$"&amp;MATCH($J20,SorP!$B$1:$B$6230,0))))</f>
        <v>JP-28</v>
      </c>
      <c r="U20" s="241"/>
      <c r="V20" s="275">
        <f ca="1">IF(C20="",NA(),MATCH($B20&amp;$C20,'Smelter Look-up'!$J:$J,0))</f>
        <v>24</v>
      </c>
      <c r="W20" s="276"/>
      <c r="X20" s="276">
        <f t="shared" ca="1" si="4"/>
        <v>0</v>
      </c>
      <c r="Y20" s="276"/>
      <c r="Z20" s="276"/>
      <c r="AB20" s="278" t="str">
        <f t="shared" ca="1" si="5"/>
        <v>GoldAsahi Pretec Corp.</v>
      </c>
    </row>
    <row r="21" spans="1:28" s="277" customFormat="1" ht="51">
      <c r="A21" s="216" t="s">
        <v>672</v>
      </c>
      <c r="B21" s="217" t="str">
        <f ca="1">IF(LEN(A21)=0,"",INDEX('Smelter Look-up'!$A:$A,MATCH($A21,'Smelter Look-up'!$E:$E,0)))</f>
        <v>Gold</v>
      </c>
      <c r="C21" s="221" t="str">
        <f ca="1">IF(LEN(A21)=0,"",INDEX('Smelter Look-up'!$C:$C,MATCH($A21,'Smelter Look-up'!$E:$E,0)))</f>
        <v>Asaka Riken Co., Ltd.</v>
      </c>
      <c r="D21" s="283"/>
      <c r="E21" s="217" t="str">
        <f ca="1">IF(ISERROR($V21),"",OFFSET('Smelter Look-up'!$D$4,$V21-4,0)&amp;"")</f>
        <v>JAPAN</v>
      </c>
      <c r="F21" s="217" t="str">
        <f ca="1">IF(ISERROR($V21),"",OFFSET('Smelter Look-up'!$E$4,$V21-4,0))</f>
        <v>CID000090</v>
      </c>
      <c r="G21" s="217" t="str">
        <f ca="1">IF(C21=$X$4,"Enter smelter details",IF(ISERROR($V21),"",OFFSET('Smelter Look-up'!$F$4,$V21-4,0)))</f>
        <v>RMI</v>
      </c>
      <c r="H21" s="218">
        <f ca="1">IF(ISERROR($V21),"",OFFSET('Smelter Look-up'!$G$4,$V21-4,0))</f>
        <v>0</v>
      </c>
      <c r="I21" s="219" t="str">
        <f ca="1">IF(ISERROR($V21),"",OFFSET('Smelter Look-up'!$H$4,$V21-4,0))</f>
        <v>Tamura</v>
      </c>
      <c r="J21" s="219" t="str">
        <f ca="1">IF(ISERROR($V21),"",OFFSET('Smelter Look-up'!$I$4,$V21-4,0))</f>
        <v>Fukushima</v>
      </c>
      <c r="K21" s="273"/>
      <c r="L21" s="273"/>
      <c r="M21" s="273"/>
      <c r="N21" s="273"/>
      <c r="O21" s="273"/>
      <c r="P21" s="220"/>
      <c r="Q21" s="274"/>
      <c r="R21" s="217" t="str">
        <f ca="1">IF(ISERROR($V21),"",OFFSET('Smelter Look-up'!$C$4,$V21-4,0)&amp;"")</f>
        <v>Asaka Riken Co., Ltd.</v>
      </c>
      <c r="S21" s="225" t="str">
        <f t="shared" ca="1" si="3"/>
        <v>JP</v>
      </c>
      <c r="T21" s="225" t="str">
        <f ca="1">IF(B21="","",IF(ISERROR(MATCH($J21,SorP!$B$1:$B$6230,0)),"",INDIRECT("'SorP'!$A$"&amp;MATCH($J21,SorP!$B$1:$B$6230,0))))</f>
        <v>JP-07</v>
      </c>
      <c r="U21" s="241"/>
      <c r="V21" s="275">
        <f ca="1">IF(C21="",NA(),MATCH($B21&amp;$C21,'Smelter Look-up'!$J:$J,0))</f>
        <v>27</v>
      </c>
      <c r="W21" s="276"/>
      <c r="X21" s="276">
        <f t="shared" ca="1" si="4"/>
        <v>0</v>
      </c>
      <c r="Y21" s="276"/>
      <c r="Z21" s="276"/>
      <c r="AB21" s="278" t="str">
        <f t="shared" ca="1" si="5"/>
        <v>GoldAsaka Riken Co., Ltd.</v>
      </c>
    </row>
    <row r="22" spans="1:28" s="277" customFormat="1" ht="25.5">
      <c r="A22" s="216" t="s">
        <v>674</v>
      </c>
      <c r="B22" s="217" t="str">
        <f ca="1">IF(LEN(A22)=0,"",INDEX('Smelter Look-up'!$A:$A,MATCH($A22,'Smelter Look-up'!$E:$E,0)))</f>
        <v>Gold</v>
      </c>
      <c r="C22" s="221" t="str">
        <f ca="1">IF(LEN(A22)=0,"",INDEX('Smelter Look-up'!$C:$C,MATCH($A22,'Smelter Look-up'!$E:$E,0)))</f>
        <v>Aurubis AG</v>
      </c>
      <c r="D22" s="283"/>
      <c r="E22" s="217" t="str">
        <f ca="1">IF(ISERROR($V22),"",OFFSET('Smelter Look-up'!$D$4,$V22-4,0)&amp;"")</f>
        <v>GERMANY</v>
      </c>
      <c r="F22" s="217" t="str">
        <f ca="1">IF(ISERROR($V22),"",OFFSET('Smelter Look-up'!$E$4,$V22-4,0))</f>
        <v>CID000113</v>
      </c>
      <c r="G22" s="217" t="str">
        <f ca="1">IF(C22=$X$4,"Enter smelter details",IF(ISERROR($V22),"",OFFSET('Smelter Look-up'!$F$4,$V22-4,0)))</f>
        <v>RMI</v>
      </c>
      <c r="H22" s="218">
        <f ca="1">IF(ISERROR($V22),"",OFFSET('Smelter Look-up'!$G$4,$V22-4,0))</f>
        <v>0</v>
      </c>
      <c r="I22" s="219" t="str">
        <f ca="1">IF(ISERROR($V22),"",OFFSET('Smelter Look-up'!$H$4,$V22-4,0))</f>
        <v>Hamburg</v>
      </c>
      <c r="J22" s="219" t="str">
        <f ca="1">IF(ISERROR($V22),"",OFFSET('Smelter Look-up'!$I$4,$V22-4,0))</f>
        <v>Hamburg</v>
      </c>
      <c r="K22" s="273"/>
      <c r="L22" s="273"/>
      <c r="M22" s="273"/>
      <c r="N22" s="273"/>
      <c r="O22" s="273"/>
      <c r="P22" s="220"/>
      <c r="Q22" s="274"/>
      <c r="R22" s="217" t="str">
        <f ca="1">IF(ISERROR($V22),"",OFFSET('Smelter Look-up'!$C$4,$V22-4,0)&amp;"")</f>
        <v>Aurubis AG</v>
      </c>
      <c r="S22" s="225" t="str">
        <f t="shared" ca="1" si="3"/>
        <v>DE</v>
      </c>
      <c r="T22" s="225" t="str">
        <f ca="1">IF(B22="","",IF(ISERROR(MATCH($J22,SorP!$B$1:$B$6230,0)),"",INDIRECT("'SorP'!$A$"&amp;MATCH($J22,SorP!$B$1:$B$6230,0))))</f>
        <v>DE-HH</v>
      </c>
      <c r="U22" s="241"/>
      <c r="V22" s="275">
        <f ca="1">IF(C22="",NA(),MATCH($B22&amp;$C22,'Smelter Look-up'!$J:$J,0))</f>
        <v>32</v>
      </c>
      <c r="W22" s="276"/>
      <c r="X22" s="276">
        <f t="shared" ca="1" si="4"/>
        <v>0</v>
      </c>
      <c r="Y22" s="276"/>
      <c r="Z22" s="276"/>
      <c r="AB22" s="278" t="str">
        <f t="shared" ca="1" si="5"/>
        <v>GoldAurubis AG</v>
      </c>
    </row>
    <row r="23" spans="1:28" s="277" customFormat="1" ht="127.5">
      <c r="A23" s="216" t="s">
        <v>675</v>
      </c>
      <c r="B23" s="217" t="str">
        <f ca="1">IF(LEN(A23)=0,"",INDEX('Smelter Look-up'!$A:$A,MATCH($A23,'Smelter Look-up'!$E:$E,0)))</f>
        <v>Gold</v>
      </c>
      <c r="C23" s="221" t="str">
        <f ca="1">IF(LEN(A23)=0,"",INDEX('Smelter Look-up'!$C:$C,MATCH($A23,'Smelter Look-up'!$E:$E,0)))</f>
        <v>Bangko Sentral ng Pilipinas (Central Bank of the Philippines)</v>
      </c>
      <c r="D23" s="283"/>
      <c r="E23" s="217" t="str">
        <f ca="1">IF(ISERROR($V23),"",OFFSET('Smelter Look-up'!$D$4,$V23-4,0)&amp;"")</f>
        <v>PHILIPPINES</v>
      </c>
      <c r="F23" s="217" t="str">
        <f ca="1">IF(ISERROR($V23),"",OFFSET('Smelter Look-up'!$E$4,$V23-4,0))</f>
        <v>CID000128</v>
      </c>
      <c r="G23" s="217" t="str">
        <f ca="1">IF(C23=$X$4,"Enter smelter details",IF(ISERROR($V23),"",OFFSET('Smelter Look-up'!$F$4,$V23-4,0)))</f>
        <v>RMI</v>
      </c>
      <c r="H23" s="218">
        <f ca="1">IF(ISERROR($V23),"",OFFSET('Smelter Look-up'!$G$4,$V23-4,0))</f>
        <v>0</v>
      </c>
      <c r="I23" s="219" t="str">
        <f ca="1">IF(ISERROR($V23),"",OFFSET('Smelter Look-up'!$H$4,$V23-4,0))</f>
        <v>Quezon City</v>
      </c>
      <c r="J23" s="219" t="str">
        <f ca="1">IF(ISERROR($V23),"",OFFSET('Smelter Look-up'!$I$4,$V23-4,0))</f>
        <v>Rizal</v>
      </c>
      <c r="K23" s="273"/>
      <c r="L23" s="273"/>
      <c r="M23" s="273"/>
      <c r="N23" s="273"/>
      <c r="O23" s="273"/>
      <c r="P23" s="220"/>
      <c r="Q23" s="274"/>
      <c r="R23" s="217" t="str">
        <f ca="1">IF(ISERROR($V23),"",OFFSET('Smelter Look-up'!$C$4,$V23-4,0)&amp;"")</f>
        <v>Bangko Sentral ng Pilipinas (Central Bank of the Philippines)</v>
      </c>
      <c r="S23" s="225" t="str">
        <f t="shared" ca="1" si="3"/>
        <v>PH</v>
      </c>
      <c r="T23" s="225" t="str">
        <f ca="1">IF(B23="","",IF(ISERROR(MATCH($J23,SorP!$B$1:$B$6230,0)),"",INDIRECT("'SorP'!$A$"&amp;MATCH($J23,SorP!$B$1:$B$6230,0))))</f>
        <v>PH-RIZ</v>
      </c>
      <c r="U23" s="241"/>
      <c r="V23" s="275">
        <f ca="1">IF(C23="",NA(),MATCH($B23&amp;$C23,'Smelter Look-up'!$J:$J,0))</f>
        <v>36</v>
      </c>
      <c r="W23" s="276"/>
      <c r="X23" s="276">
        <f t="shared" ca="1" si="4"/>
        <v>0</v>
      </c>
      <c r="Y23" s="276"/>
      <c r="Z23" s="276"/>
      <c r="AB23" s="278" t="str">
        <f t="shared" ca="1" si="5"/>
        <v>GoldBangko Sentral ng Pilipinas (Central Bank of the Philippines)</v>
      </c>
    </row>
    <row r="24" spans="1:28" s="277" customFormat="1" ht="25.5">
      <c r="A24" s="216" t="s">
        <v>676</v>
      </c>
      <c r="B24" s="217" t="str">
        <f ca="1">IF(LEN(A24)=0,"",INDEX('Smelter Look-up'!$A:$A,MATCH($A24,'Smelter Look-up'!$E:$E,0)))</f>
        <v>Gold</v>
      </c>
      <c r="C24" s="221" t="str">
        <f ca="1">IF(LEN(A24)=0,"",INDEX('Smelter Look-up'!$C:$C,MATCH($A24,'Smelter Look-up'!$E:$E,0)))</f>
        <v>Boliden AB</v>
      </c>
      <c r="D24" s="283"/>
      <c r="E24" s="217" t="str">
        <f ca="1">IF(ISERROR($V24),"",OFFSET('Smelter Look-up'!$D$4,$V24-4,0)&amp;"")</f>
        <v>SWEDEN</v>
      </c>
      <c r="F24" s="217" t="str">
        <f ca="1">IF(ISERROR($V24),"",OFFSET('Smelter Look-up'!$E$4,$V24-4,0))</f>
        <v>CID000157</v>
      </c>
      <c r="G24" s="217" t="str">
        <f ca="1">IF(C24=$X$4,"Enter smelter details",IF(ISERROR($V24),"",OFFSET('Smelter Look-up'!$F$4,$V24-4,0)))</f>
        <v>RMI</v>
      </c>
      <c r="H24" s="218">
        <f ca="1">IF(ISERROR($V24),"",OFFSET('Smelter Look-up'!$G$4,$V24-4,0))</f>
        <v>0</v>
      </c>
      <c r="I24" s="219" t="str">
        <f ca="1">IF(ISERROR($V24),"",OFFSET('Smelter Look-up'!$H$4,$V24-4,0))</f>
        <v>Skelleftehamn</v>
      </c>
      <c r="J24" s="219" t="str">
        <f ca="1">IF(ISERROR($V24),"",OFFSET('Smelter Look-up'!$I$4,$V24-4,0))</f>
        <v>Västerbottens län [SE-24]</v>
      </c>
      <c r="K24" s="273"/>
      <c r="L24" s="273"/>
      <c r="M24" s="273"/>
      <c r="N24" s="273"/>
      <c r="O24" s="273"/>
      <c r="P24" s="220"/>
      <c r="Q24" s="274"/>
      <c r="R24" s="217" t="str">
        <f ca="1">IF(ISERROR($V24),"",OFFSET('Smelter Look-up'!$C$4,$V24-4,0)&amp;"")</f>
        <v>Boliden AB</v>
      </c>
      <c r="S24" s="225" t="str">
        <f t="shared" ca="1" si="3"/>
        <v>SE</v>
      </c>
      <c r="T24" s="225" t="str">
        <f ca="1">IF(B24="","",IF(ISERROR(MATCH($J24,SorP!$B$1:$B$6230,0)),"",INDIRECT("'SorP'!$A$"&amp;MATCH($J24,SorP!$B$1:$B$6230,0))))</f>
        <v>SE-AC</v>
      </c>
      <c r="U24" s="241"/>
      <c r="V24" s="275">
        <f ca="1">IF(C24="",NA(),MATCH($B24&amp;$C24,'Smelter Look-up'!$J:$J,0))</f>
        <v>37</v>
      </c>
      <c r="W24" s="276"/>
      <c r="X24" s="276">
        <f t="shared" ca="1" si="4"/>
        <v>0</v>
      </c>
      <c r="Y24" s="276"/>
      <c r="Z24" s="276"/>
      <c r="AB24" s="278" t="str">
        <f t="shared" ca="1" si="5"/>
        <v>GoldBoliden AB</v>
      </c>
    </row>
    <row r="25" spans="1:28" s="277" customFormat="1" ht="51">
      <c r="A25" s="216" t="s">
        <v>678</v>
      </c>
      <c r="B25" s="217" t="str">
        <f ca="1">IF(LEN(A25)=0,"",INDEX('Smelter Look-up'!$A:$A,MATCH($A25,'Smelter Look-up'!$E:$E,0)))</f>
        <v>Gold</v>
      </c>
      <c r="C25" s="221" t="str">
        <f ca="1">IF(LEN(A25)=0,"",INDEX('Smelter Look-up'!$C:$C,MATCH($A25,'Smelter Look-up'!$E:$E,0)))</f>
        <v>C. Hafner GmbH + Co. KG</v>
      </c>
      <c r="D25" s="283"/>
      <c r="E25" s="217" t="str">
        <f ca="1">IF(ISERROR($V25),"",OFFSET('Smelter Look-up'!$D$4,$V25-4,0)&amp;"")</f>
        <v>GERMANY</v>
      </c>
      <c r="F25" s="217" t="str">
        <f ca="1">IF(ISERROR($V25),"",OFFSET('Smelter Look-up'!$E$4,$V25-4,0))</f>
        <v>CID000176</v>
      </c>
      <c r="G25" s="217" t="str">
        <f ca="1">IF(C25=$X$4,"Enter smelter details",IF(ISERROR($V25),"",OFFSET('Smelter Look-up'!$F$4,$V25-4,0)))</f>
        <v>RMI</v>
      </c>
      <c r="H25" s="218">
        <f ca="1">IF(ISERROR($V25),"",OFFSET('Smelter Look-up'!$G$4,$V25-4,0))</f>
        <v>0</v>
      </c>
      <c r="I25" s="219" t="str">
        <f ca="1">IF(ISERROR($V25),"",OFFSET('Smelter Look-up'!$H$4,$V25-4,0))</f>
        <v>Pforzheim</v>
      </c>
      <c r="J25" s="219" t="str">
        <f ca="1">IF(ISERROR($V25),"",OFFSET('Smelter Look-up'!$I$4,$V25-4,0))</f>
        <v>Baden-Württemberg</v>
      </c>
      <c r="K25" s="273"/>
      <c r="L25" s="273"/>
      <c r="M25" s="273"/>
      <c r="N25" s="273"/>
      <c r="O25" s="273"/>
      <c r="P25" s="220"/>
      <c r="Q25" s="274"/>
      <c r="R25" s="217" t="str">
        <f ca="1">IF(ISERROR($V25),"",OFFSET('Smelter Look-up'!$C$4,$V25-4,0)&amp;"")</f>
        <v>C. Hafner GmbH + Co. KG</v>
      </c>
      <c r="S25" s="225" t="str">
        <f t="shared" ca="1" si="3"/>
        <v>DE</v>
      </c>
      <c r="T25" s="225" t="str">
        <f ca="1">IF(B25="","",IF(ISERROR(MATCH($J25,SorP!$B$1:$B$6230,0)),"",INDIRECT("'SorP'!$A$"&amp;MATCH($J25,SorP!$B$1:$B$6230,0))))</f>
        <v>DE-BW</v>
      </c>
      <c r="U25" s="241"/>
      <c r="V25" s="275">
        <f ca="1">IF(C25="",NA(),MATCH($B25&amp;$C25,'Smelter Look-up'!$J:$J,0))</f>
        <v>38</v>
      </c>
      <c r="W25" s="276"/>
      <c r="X25" s="276">
        <f t="shared" ca="1" si="4"/>
        <v>0</v>
      </c>
      <c r="Y25" s="276"/>
      <c r="Z25" s="276"/>
      <c r="AB25" s="278" t="str">
        <f t="shared" ca="1" si="5"/>
        <v>GoldC. Hafner GmbH + Co. KG</v>
      </c>
    </row>
    <row r="26" spans="1:28" s="277" customFormat="1" ht="38.25">
      <c r="A26" s="216" t="s">
        <v>682</v>
      </c>
      <c r="B26" s="217" t="str">
        <f ca="1">IF(LEN(A26)=0,"",INDEX('Smelter Look-up'!$A:$A,MATCH($A26,'Smelter Look-up'!$E:$E,0)))</f>
        <v>Gold</v>
      </c>
      <c r="C26" s="221" t="str">
        <f ca="1">IF(LEN(A26)=0,"",INDEX('Smelter Look-up'!$C:$C,MATCH($A26,'Smelter Look-up'!$E:$E,0)))</f>
        <v>Chimet S.p.A.</v>
      </c>
      <c r="D26" s="283"/>
      <c r="E26" s="217" t="str">
        <f ca="1">IF(ISERROR($V26),"",OFFSET('Smelter Look-up'!$D$4,$V26-4,0)&amp;"")</f>
        <v>ITALY</v>
      </c>
      <c r="F26" s="217" t="str">
        <f ca="1">IF(ISERROR($V26),"",OFFSET('Smelter Look-up'!$E$4,$V26-4,0))</f>
        <v>CID000233</v>
      </c>
      <c r="G26" s="217" t="str">
        <f ca="1">IF(C26=$X$4,"Enter smelter details",IF(ISERROR($V26),"",OFFSET('Smelter Look-up'!$F$4,$V26-4,0)))</f>
        <v>RMI</v>
      </c>
      <c r="H26" s="218">
        <f ca="1">IF(ISERROR($V26),"",OFFSET('Smelter Look-up'!$G$4,$V26-4,0))</f>
        <v>0</v>
      </c>
      <c r="I26" s="219" t="str">
        <f ca="1">IF(ISERROR($V26),"",OFFSET('Smelter Look-up'!$H$4,$V26-4,0))</f>
        <v>Arezzo</v>
      </c>
      <c r="J26" s="219" t="str">
        <f ca="1">IF(ISERROR($V26),"",OFFSET('Smelter Look-up'!$I$4,$V26-4,0))</f>
        <v>Toscana</v>
      </c>
      <c r="K26" s="273"/>
      <c r="L26" s="273"/>
      <c r="M26" s="273"/>
      <c r="N26" s="273"/>
      <c r="O26" s="273"/>
      <c r="P26" s="220"/>
      <c r="Q26" s="274"/>
      <c r="R26" s="217" t="str">
        <f ca="1">IF(ISERROR($V26),"",OFFSET('Smelter Look-up'!$C$4,$V26-4,0)&amp;"")</f>
        <v>Chimet S.p.A.</v>
      </c>
      <c r="S26" s="225" t="str">
        <f t="shared" ca="1" si="3"/>
        <v>IT</v>
      </c>
      <c r="T26" s="225" t="str">
        <f ca="1">IF(B26="","",IF(ISERROR(MATCH($J26,SorP!$B$1:$B$6230,0)),"",INDIRECT("'SorP'!$A$"&amp;MATCH($J26,SorP!$B$1:$B$6230,0))))</f>
        <v>IT-52</v>
      </c>
      <c r="U26" s="241"/>
      <c r="V26" s="275">
        <f ca="1">IF(C26="",NA(),MATCH($B26&amp;$C26,'Smelter Look-up'!$J:$J,0))</f>
        <v>51</v>
      </c>
      <c r="W26" s="276"/>
      <c r="X26" s="276">
        <f t="shared" ca="1" si="4"/>
        <v>0</v>
      </c>
      <c r="Y26" s="276"/>
      <c r="Z26" s="276"/>
      <c r="AB26" s="278" t="str">
        <f t="shared" ca="1" si="5"/>
        <v>GoldChimet S.p.A.</v>
      </c>
    </row>
    <row r="27" spans="1:28" s="277" customFormat="1" ht="25.5">
      <c r="A27" s="216" t="s">
        <v>689</v>
      </c>
      <c r="B27" s="217" t="str">
        <f ca="1">IF(LEN(A27)=0,"",INDEX('Smelter Look-up'!$A:$A,MATCH($A27,'Smelter Look-up'!$E:$E,0)))</f>
        <v>Gold</v>
      </c>
      <c r="C27" s="221" t="str">
        <f ca="1">IF(LEN(A27)=0,"",INDEX('Smelter Look-up'!$C:$C,MATCH($A27,'Smelter Look-up'!$E:$E,0)))</f>
        <v>Dowa</v>
      </c>
      <c r="D27" s="283"/>
      <c r="E27" s="217" t="str">
        <f ca="1">IF(ISERROR($V27),"",OFFSET('Smelter Look-up'!$D$4,$V27-4,0)&amp;"")</f>
        <v>JAPAN</v>
      </c>
      <c r="F27" s="217" t="str">
        <f ca="1">IF(ISERROR($V27),"",OFFSET('Smelter Look-up'!$E$4,$V27-4,0))</f>
        <v>CID000401</v>
      </c>
      <c r="G27" s="217" t="str">
        <f ca="1">IF(C27=$X$4,"Enter smelter details",IF(ISERROR($V27),"",OFFSET('Smelter Look-up'!$F$4,$V27-4,0)))</f>
        <v>RMI</v>
      </c>
      <c r="H27" s="218">
        <f ca="1">IF(ISERROR($V27),"",OFFSET('Smelter Look-up'!$G$4,$V27-4,0))</f>
        <v>0</v>
      </c>
      <c r="I27" s="219" t="str">
        <f ca="1">IF(ISERROR($V27),"",OFFSET('Smelter Look-up'!$H$4,$V27-4,0))</f>
        <v>Kosaka</v>
      </c>
      <c r="J27" s="219" t="str">
        <f ca="1">IF(ISERROR($V27),"",OFFSET('Smelter Look-up'!$I$4,$V27-4,0))</f>
        <v>Akita</v>
      </c>
      <c r="K27" s="273"/>
      <c r="L27" s="273"/>
      <c r="M27" s="273"/>
      <c r="N27" s="273"/>
      <c r="O27" s="273"/>
      <c r="P27" s="220"/>
      <c r="Q27" s="274"/>
      <c r="R27" s="217" t="str">
        <f ca="1">IF(ISERROR($V27),"",OFFSET('Smelter Look-up'!$C$4,$V27-4,0)&amp;"")</f>
        <v>Dowa</v>
      </c>
      <c r="S27" s="225" t="str">
        <f t="shared" ca="1" si="3"/>
        <v>JP</v>
      </c>
      <c r="T27" s="225" t="str">
        <f ca="1">IF(B27="","",IF(ISERROR(MATCH($J27,SorP!$B$1:$B$6230,0)),"",INDIRECT("'SorP'!$A$"&amp;MATCH($J27,SorP!$B$1:$B$6230,0))))</f>
        <v>JP-05</v>
      </c>
      <c r="U27" s="241"/>
      <c r="V27" s="275">
        <f ca="1">IF(C27="",NA(),MATCH($B27&amp;$C27,'Smelter Look-up'!$J:$J,0))</f>
        <v>63</v>
      </c>
      <c r="W27" s="276"/>
      <c r="X27" s="276">
        <f t="shared" ca="1" si="4"/>
        <v>0</v>
      </c>
      <c r="Y27" s="276"/>
      <c r="Z27" s="276"/>
      <c r="AB27" s="278" t="str">
        <f t="shared" ca="1" si="5"/>
        <v>GoldDowa</v>
      </c>
    </row>
    <row r="28" spans="1:28" s="277" customFormat="1" ht="51">
      <c r="A28" s="216" t="s">
        <v>694</v>
      </c>
      <c r="B28" s="217" t="str">
        <f ca="1">IF(LEN(A28)=0,"",INDEX('Smelter Look-up'!$A:$A,MATCH($A28,'Smelter Look-up'!$E:$E,0)))</f>
        <v>Gold</v>
      </c>
      <c r="C28" s="221" t="str">
        <f ca="1">IF(LEN(A28)=0,"",INDEX('Smelter Look-up'!$C:$C,MATCH($A28,'Smelter Look-up'!$E:$E,0)))</f>
        <v>Heimerle + Meule GmbH</v>
      </c>
      <c r="D28" s="283"/>
      <c r="E28" s="217" t="str">
        <f ca="1">IF(ISERROR($V28),"",OFFSET('Smelter Look-up'!$D$4,$V28-4,0)&amp;"")</f>
        <v>GERMANY</v>
      </c>
      <c r="F28" s="217" t="str">
        <f ca="1">IF(ISERROR($V28),"",OFFSET('Smelter Look-up'!$E$4,$V28-4,0))</f>
        <v>CID000694</v>
      </c>
      <c r="G28" s="217" t="str">
        <f ca="1">IF(C28=$X$4,"Enter smelter details",IF(ISERROR($V28),"",OFFSET('Smelter Look-up'!$F$4,$V28-4,0)))</f>
        <v>RMI</v>
      </c>
      <c r="H28" s="218">
        <f ca="1">IF(ISERROR($V28),"",OFFSET('Smelter Look-up'!$G$4,$V28-4,0))</f>
        <v>0</v>
      </c>
      <c r="I28" s="219" t="str">
        <f ca="1">IF(ISERROR($V28),"",OFFSET('Smelter Look-up'!$H$4,$V28-4,0))</f>
        <v>Pforzheim</v>
      </c>
      <c r="J28" s="219" t="str">
        <f ca="1">IF(ISERROR($V28),"",OFFSET('Smelter Look-up'!$I$4,$V28-4,0))</f>
        <v>Baden-Württemberg</v>
      </c>
      <c r="K28" s="273"/>
      <c r="L28" s="273"/>
      <c r="M28" s="273"/>
      <c r="N28" s="273"/>
      <c r="O28" s="273"/>
      <c r="P28" s="220"/>
      <c r="Q28" s="274"/>
      <c r="R28" s="217" t="str">
        <f ca="1">IF(ISERROR($V28),"",OFFSET('Smelter Look-up'!$C$4,$V28-4,0)&amp;"")</f>
        <v>Heimerle + Meule GmbH</v>
      </c>
      <c r="S28" s="225" t="str">
        <f t="shared" ca="1" si="3"/>
        <v>DE</v>
      </c>
      <c r="T28" s="225" t="str">
        <f ca="1">IF(B28="","",IF(ISERROR(MATCH($J28,SorP!$B$1:$B$6230,0)),"",INDIRECT("'SorP'!$A$"&amp;MATCH($J28,SorP!$B$1:$B$6230,0))))</f>
        <v>DE-BW</v>
      </c>
      <c r="U28" s="241"/>
      <c r="V28" s="275">
        <f ca="1">IF(C28="",NA(),MATCH($B28&amp;$C28,'Smelter Look-up'!$J:$J,0))</f>
        <v>92</v>
      </c>
      <c r="W28" s="276"/>
      <c r="X28" s="276">
        <f t="shared" ca="1" si="4"/>
        <v>0</v>
      </c>
      <c r="Y28" s="276"/>
      <c r="Z28" s="276"/>
      <c r="AB28" s="278" t="str">
        <f t="shared" ca="1" si="5"/>
        <v>GoldHeimerle + Meule GmbH</v>
      </c>
    </row>
    <row r="29" spans="1:28" s="277" customFormat="1" ht="76.5">
      <c r="A29" s="216" t="s">
        <v>695</v>
      </c>
      <c r="B29" s="217" t="str">
        <f ca="1">IF(LEN(A29)=0,"",INDEX('Smelter Look-up'!$A:$A,MATCH($A29,'Smelter Look-up'!$E:$E,0)))</f>
        <v>Gold</v>
      </c>
      <c r="C29" s="221" t="str">
        <f ca="1">IF(LEN(A29)=0,"",INDEX('Smelter Look-up'!$C:$C,MATCH($A29,'Smelter Look-up'!$E:$E,0)))</f>
        <v>Heraeus Metals Hong Kong Ltd.</v>
      </c>
      <c r="D29" s="283"/>
      <c r="E29" s="217" t="str">
        <f ca="1">IF(ISERROR($V29),"",OFFSET('Smelter Look-up'!$D$4,$V29-4,0)&amp;"")</f>
        <v>CHINA</v>
      </c>
      <c r="F29" s="217" t="str">
        <f ca="1">IF(ISERROR($V29),"",OFFSET('Smelter Look-up'!$E$4,$V29-4,0))</f>
        <v>CID000707</v>
      </c>
      <c r="G29" s="217" t="str">
        <f ca="1">IF(C29=$X$4,"Enter smelter details",IF(ISERROR($V29),"",OFFSET('Smelter Look-up'!$F$4,$V29-4,0)))</f>
        <v>RMI</v>
      </c>
      <c r="H29" s="218">
        <f ca="1">IF(ISERROR($V29),"",OFFSET('Smelter Look-up'!$G$4,$V29-4,0))</f>
        <v>0</v>
      </c>
      <c r="I29" s="219" t="str">
        <f ca="1">IF(ISERROR($V29),"",OFFSET('Smelter Look-up'!$H$4,$V29-4,0))</f>
        <v>Fanling</v>
      </c>
      <c r="J29" s="219" t="str">
        <f ca="1">IF(ISERROR($V29),"",OFFSET('Smelter Look-up'!$I$4,$V29-4,0))</f>
        <v>Hong Kong SAR</v>
      </c>
      <c r="K29" s="273"/>
      <c r="L29" s="273"/>
      <c r="M29" s="273"/>
      <c r="N29" s="273"/>
      <c r="O29" s="273"/>
      <c r="P29" s="220"/>
      <c r="Q29" s="274"/>
      <c r="R29" s="217" t="str">
        <f ca="1">IF(ISERROR($V29),"",OFFSET('Smelter Look-up'!$C$4,$V29-4,0)&amp;"")</f>
        <v>Heraeus Metals Hong Kong Ltd.</v>
      </c>
      <c r="S29" s="225" t="str">
        <f t="shared" ca="1" si="3"/>
        <v>CN</v>
      </c>
      <c r="T29" s="225" t="str">
        <f ca="1">IF(B29="","",IF(ISERROR(MATCH($J29,SorP!$B$1:$B$6230,0)),"",INDIRECT("'SorP'!$A$"&amp;MATCH($J29,SorP!$B$1:$B$6230,0))))</f>
        <v>CN-HK</v>
      </c>
      <c r="U29" s="241"/>
      <c r="V29" s="275">
        <f ca="1">IF(C29="",NA(),MATCH($B29&amp;$C29,'Smelter Look-up'!$J:$J,0))</f>
        <v>97</v>
      </c>
      <c r="W29" s="276"/>
      <c r="X29" s="276">
        <f t="shared" ca="1" si="4"/>
        <v>0</v>
      </c>
      <c r="Y29" s="276"/>
      <c r="Z29" s="276"/>
      <c r="AB29" s="278" t="str">
        <f t="shared" ca="1" si="5"/>
        <v>GoldHeraeus Metals Hong Kong Ltd.</v>
      </c>
    </row>
    <row r="30" spans="1:28" s="277" customFormat="1" ht="76.5">
      <c r="A30" s="216" t="s">
        <v>700</v>
      </c>
      <c r="B30" s="217" t="str">
        <f ca="1">IF(LEN(A30)=0,"",INDEX('Smelter Look-up'!$A:$A,MATCH($A30,'Smelter Look-up'!$E:$E,0)))</f>
        <v>Gold</v>
      </c>
      <c r="C30" s="221" t="str">
        <f ca="1">IF(LEN(A30)=0,"",INDEX('Smelter Look-up'!$C:$C,MATCH($A30,'Smelter Look-up'!$E:$E,0)))</f>
        <v>Ishifuku Metal Industry Co., Ltd.</v>
      </c>
      <c r="D30" s="283"/>
      <c r="E30" s="217" t="str">
        <f ca="1">IF(ISERROR($V30),"",OFFSET('Smelter Look-up'!$D$4,$V30-4,0)&amp;"")</f>
        <v>JAPAN</v>
      </c>
      <c r="F30" s="217" t="str">
        <f ca="1">IF(ISERROR($V30),"",OFFSET('Smelter Look-up'!$E$4,$V30-4,0))</f>
        <v>CID000807</v>
      </c>
      <c r="G30" s="217" t="str">
        <f ca="1">IF(C30=$X$4,"Enter smelter details",IF(ISERROR($V30),"",OFFSET('Smelter Look-up'!$F$4,$V30-4,0)))</f>
        <v>RMI</v>
      </c>
      <c r="H30" s="218">
        <f ca="1">IF(ISERROR($V30),"",OFFSET('Smelter Look-up'!$G$4,$V30-4,0))</f>
        <v>0</v>
      </c>
      <c r="I30" s="219" t="str">
        <f ca="1">IF(ISERROR($V30),"",OFFSET('Smelter Look-up'!$H$4,$V30-4,0))</f>
        <v>Soka</v>
      </c>
      <c r="J30" s="219" t="str">
        <f ca="1">IF(ISERROR($V30),"",OFFSET('Smelter Look-up'!$I$4,$V30-4,0))</f>
        <v>Saitama</v>
      </c>
      <c r="K30" s="273"/>
      <c r="L30" s="273"/>
      <c r="M30" s="273"/>
      <c r="N30" s="273"/>
      <c r="O30" s="273"/>
      <c r="P30" s="220"/>
      <c r="Q30" s="274"/>
      <c r="R30" s="217" t="str">
        <f ca="1">IF(ISERROR($V30),"",OFFSET('Smelter Look-up'!$C$4,$V30-4,0)&amp;"")</f>
        <v>Ishifuku Metal Industry Co., Ltd.</v>
      </c>
      <c r="S30" s="225" t="str">
        <f t="shared" ca="1" si="3"/>
        <v>JP</v>
      </c>
      <c r="T30" s="225" t="str">
        <f ca="1">IF(B30="","",IF(ISERROR(MATCH($J30,SorP!$B$1:$B$6230,0)),"",INDIRECT("'SorP'!$A$"&amp;MATCH($J30,SorP!$B$1:$B$6230,0))))</f>
        <v>JP-11</v>
      </c>
      <c r="U30" s="241"/>
      <c r="V30" s="275">
        <f ca="1">IF(C30="",NA(),MATCH($B30&amp;$C30,'Smelter Look-up'!$J:$J,0))</f>
        <v>107</v>
      </c>
      <c r="W30" s="276"/>
      <c r="X30" s="276">
        <f t="shared" ca="1" si="4"/>
        <v>0</v>
      </c>
      <c r="Y30" s="276"/>
      <c r="Z30" s="276"/>
      <c r="AB30" s="278" t="str">
        <f t="shared" ca="1" si="5"/>
        <v>GoldIshifuku Metal Industry Co., Ltd.</v>
      </c>
    </row>
    <row r="31" spans="1:28" s="277" customFormat="1" ht="51">
      <c r="A31" s="216" t="s">
        <v>701</v>
      </c>
      <c r="B31" s="217" t="str">
        <f ca="1">IF(LEN(A31)=0,"",INDEX('Smelter Look-up'!$A:$A,MATCH($A31,'Smelter Look-up'!$E:$E,0)))</f>
        <v>Gold</v>
      </c>
      <c r="C31" s="221" t="str">
        <f ca="1">IF(LEN(A31)=0,"",INDEX('Smelter Look-up'!$C:$C,MATCH($A31,'Smelter Look-up'!$E:$E,0)))</f>
        <v>Istanbul Gold Refinery</v>
      </c>
      <c r="D31" s="283"/>
      <c r="E31" s="217" t="str">
        <f ca="1">IF(ISERROR($V31),"",OFFSET('Smelter Look-up'!$D$4,$V31-4,0)&amp;"")</f>
        <v>TURKEY</v>
      </c>
      <c r="F31" s="217" t="str">
        <f ca="1">IF(ISERROR($V31),"",OFFSET('Smelter Look-up'!$E$4,$V31-4,0))</f>
        <v>CID000814</v>
      </c>
      <c r="G31" s="217" t="str">
        <f ca="1">IF(C31=$X$4,"Enter smelter details",IF(ISERROR($V31),"",OFFSET('Smelter Look-up'!$F$4,$V31-4,0)))</f>
        <v>RMI</v>
      </c>
      <c r="H31" s="218">
        <f ca="1">IF(ISERROR($V31),"",OFFSET('Smelter Look-up'!$G$4,$V31-4,0))</f>
        <v>0</v>
      </c>
      <c r="I31" s="219" t="str">
        <f ca="1">IF(ISERROR($V31),"",OFFSET('Smelter Look-up'!$H$4,$V31-4,0))</f>
        <v>Kuyumcukent</v>
      </c>
      <c r="J31" s="219" t="str">
        <f ca="1">IF(ISERROR($V31),"",OFFSET('Smelter Look-up'!$I$4,$V31-4,0))</f>
        <v>İstanbul</v>
      </c>
      <c r="K31" s="273"/>
      <c r="L31" s="273"/>
      <c r="M31" s="273"/>
      <c r="N31" s="273"/>
      <c r="O31" s="273"/>
      <c r="P31" s="220"/>
      <c r="Q31" s="274"/>
      <c r="R31" s="217" t="str">
        <f ca="1">IF(ISERROR($V31),"",OFFSET('Smelter Look-up'!$C$4,$V31-4,0)&amp;"")</f>
        <v>Istanbul Gold Refinery</v>
      </c>
      <c r="S31" s="225" t="str">
        <f t="shared" ca="1" si="3"/>
        <v>TR</v>
      </c>
      <c r="T31" s="225" t="str">
        <f ca="1">IF(B31="","",IF(ISERROR(MATCH($J31,SorP!$B$1:$B$6230,0)),"",INDIRECT("'SorP'!$A$"&amp;MATCH($J31,SorP!$B$1:$B$6230,0))))</f>
        <v>TR-34</v>
      </c>
      <c r="U31" s="241"/>
      <c r="V31" s="275">
        <f ca="1">IF(C31="",NA(),MATCH($B31&amp;$C31,'Smelter Look-up'!$J:$J,0))</f>
        <v>108</v>
      </c>
      <c r="W31" s="276"/>
      <c r="X31" s="276">
        <f t="shared" ca="1" si="4"/>
        <v>0</v>
      </c>
      <c r="Y31" s="276"/>
      <c r="Z31" s="276"/>
      <c r="AB31" s="278" t="str">
        <f t="shared" ca="1" si="5"/>
        <v>GoldIstanbul Gold Refinery</v>
      </c>
    </row>
    <row r="32" spans="1:28" s="277" customFormat="1" ht="63.75">
      <c r="A32" s="216" t="s">
        <v>704</v>
      </c>
      <c r="B32" s="217" t="str">
        <f ca="1">IF(LEN(A32)=0,"",INDEX('Smelter Look-up'!$A:$A,MATCH($A32,'Smelter Look-up'!$E:$E,0)))</f>
        <v>Gold</v>
      </c>
      <c r="C32" s="221" t="str">
        <f ca="1">IF(LEN(A32)=0,"",INDEX('Smelter Look-up'!$C:$C,MATCH($A32,'Smelter Look-up'!$E:$E,0)))</f>
        <v>Asahi Refining USA Inc.</v>
      </c>
      <c r="D32" s="283"/>
      <c r="E32" s="217" t="str">
        <f ca="1">IF(ISERROR($V32),"",OFFSET('Smelter Look-up'!$D$4,$V32-4,0)&amp;"")</f>
        <v>UNITED STATES OF AMERICA</v>
      </c>
      <c r="F32" s="217" t="str">
        <f ca="1">IF(ISERROR($V32),"",OFFSET('Smelter Look-up'!$E$4,$V32-4,0))</f>
        <v>CID000920</v>
      </c>
      <c r="G32" s="217" t="str">
        <f ca="1">IF(C32=$X$4,"Enter smelter details",IF(ISERROR($V32),"",OFFSET('Smelter Look-up'!$F$4,$V32-4,0)))</f>
        <v>RMI</v>
      </c>
      <c r="H32" s="218">
        <f ca="1">IF(ISERROR($V32),"",OFFSET('Smelter Look-up'!$G$4,$V32-4,0))</f>
        <v>0</v>
      </c>
      <c r="I32" s="219" t="str">
        <f ca="1">IF(ISERROR($V32),"",OFFSET('Smelter Look-up'!$H$4,$V32-4,0))</f>
        <v>Salt Lake City</v>
      </c>
      <c r="J32" s="219" t="str">
        <f ca="1">IF(ISERROR($V32),"",OFFSET('Smelter Look-up'!$I$4,$V32-4,0))</f>
        <v>Utah</v>
      </c>
      <c r="K32" s="273"/>
      <c r="L32" s="273"/>
      <c r="M32" s="273"/>
      <c r="N32" s="273"/>
      <c r="O32" s="273"/>
      <c r="P32" s="220"/>
      <c r="Q32" s="274"/>
      <c r="R32" s="217" t="str">
        <f ca="1">IF(ISERROR($V32),"",OFFSET('Smelter Look-up'!$C$4,$V32-4,0)&amp;"")</f>
        <v>Asahi Refining USA Inc.</v>
      </c>
      <c r="S32" s="225" t="str">
        <f t="shared" ca="1" si="3"/>
        <v>US</v>
      </c>
      <c r="T32" s="225" t="str">
        <f ca="1">IF(B32="","",IF(ISERROR(MATCH($J32,SorP!$B$1:$B$6230,0)),"",INDIRECT("'SorP'!$A$"&amp;MATCH($J32,SorP!$B$1:$B$6230,0))))</f>
        <v>US-UT</v>
      </c>
      <c r="U32" s="241"/>
      <c r="V32" s="275">
        <f ca="1">IF(C32="",NA(),MATCH($B32&amp;$C32,'Smelter Look-up'!$J:$J,0))</f>
        <v>26</v>
      </c>
      <c r="W32" s="276"/>
      <c r="X32" s="276">
        <f t="shared" ca="1" si="4"/>
        <v>0</v>
      </c>
      <c r="Y32" s="276"/>
      <c r="Z32" s="276"/>
      <c r="AB32" s="278" t="str">
        <f t="shared" ca="1" si="5"/>
        <v>GoldAsahi Refining USA Inc.</v>
      </c>
    </row>
    <row r="33" spans="1:28" s="277" customFormat="1" ht="76.5">
      <c r="A33" s="216" t="s">
        <v>708</v>
      </c>
      <c r="B33" s="217" t="str">
        <f ca="1">IF(LEN(A33)=0,"",INDEX('Smelter Look-up'!$A:$A,MATCH($A33,'Smelter Look-up'!$E:$E,0)))</f>
        <v>Gold</v>
      </c>
      <c r="C33" s="221" t="str">
        <f ca="1">IF(LEN(A33)=0,"",INDEX('Smelter Look-up'!$C:$C,MATCH($A33,'Smelter Look-up'!$E:$E,0)))</f>
        <v>JX Nippon Mining &amp; Metals Co., Ltd.</v>
      </c>
      <c r="D33" s="283"/>
      <c r="E33" s="217" t="str">
        <f ca="1">IF(ISERROR($V33),"",OFFSET('Smelter Look-up'!$D$4,$V33-4,0)&amp;"")</f>
        <v>JAPAN</v>
      </c>
      <c r="F33" s="217" t="str">
        <f ca="1">IF(ISERROR($V33),"",OFFSET('Smelter Look-up'!$E$4,$V33-4,0))</f>
        <v>CID000937</v>
      </c>
      <c r="G33" s="217" t="str">
        <f ca="1">IF(C33=$X$4,"Enter smelter details",IF(ISERROR($V33),"",OFFSET('Smelter Look-up'!$F$4,$V33-4,0)))</f>
        <v>RMI</v>
      </c>
      <c r="H33" s="218">
        <f ca="1">IF(ISERROR($V33),"",OFFSET('Smelter Look-up'!$G$4,$V33-4,0))</f>
        <v>0</v>
      </c>
      <c r="I33" s="219" t="str">
        <f ca="1">IF(ISERROR($V33),"",OFFSET('Smelter Look-up'!$H$4,$V33-4,0))</f>
        <v>Ōita</v>
      </c>
      <c r="J33" s="219" t="str">
        <f ca="1">IF(ISERROR($V33),"",OFFSET('Smelter Look-up'!$I$4,$V33-4,0))</f>
        <v>Ôita</v>
      </c>
      <c r="K33" s="273"/>
      <c r="L33" s="273"/>
      <c r="M33" s="273"/>
      <c r="N33" s="273"/>
      <c r="O33" s="273"/>
      <c r="P33" s="220"/>
      <c r="Q33" s="274"/>
      <c r="R33" s="217" t="str">
        <f ca="1">IF(ISERROR($V33),"",OFFSET('Smelter Look-up'!$C$4,$V33-4,0)&amp;"")</f>
        <v>JX Nippon Mining &amp; Metals Co., Ltd.</v>
      </c>
      <c r="S33" s="225" t="str">
        <f t="shared" ca="1" si="3"/>
        <v>JP</v>
      </c>
      <c r="T33" s="225" t="str">
        <f ca="1">IF(B33="","",IF(ISERROR(MATCH($J33,SorP!$B$1:$B$6230,0)),"",INDIRECT("'SorP'!$A$"&amp;MATCH($J33,SorP!$B$1:$B$6230,0))))</f>
        <v>JP-44</v>
      </c>
      <c r="U33" s="241"/>
      <c r="V33" s="275">
        <f ca="1">IF(C33="",NA(),MATCH($B33&amp;$C33,'Smelter Look-up'!$J:$J,0))</f>
        <v>120</v>
      </c>
      <c r="W33" s="276"/>
      <c r="X33" s="276">
        <f t="shared" ca="1" si="4"/>
        <v>0</v>
      </c>
      <c r="Y33" s="276"/>
      <c r="Z33" s="276"/>
      <c r="AB33" s="278" t="str">
        <f t="shared" ca="1" si="5"/>
        <v>GoldJX Nippon Mining &amp; Metals Co., Ltd.</v>
      </c>
    </row>
    <row r="34" spans="1:28" s="277" customFormat="1" ht="63.75">
      <c r="A34" s="216" t="s">
        <v>712</v>
      </c>
      <c r="B34" s="217" t="str">
        <f ca="1">IF(LEN(A34)=0,"",INDEX('Smelter Look-up'!$A:$A,MATCH($A34,'Smelter Look-up'!$E:$E,0)))</f>
        <v>Gold</v>
      </c>
      <c r="C34" s="221" t="str">
        <f ca="1">IF(LEN(A34)=0,"",INDEX('Smelter Look-up'!$C:$C,MATCH($A34,'Smelter Look-up'!$E:$E,0)))</f>
        <v>Kojima Chemicals Co., Ltd.</v>
      </c>
      <c r="D34" s="283"/>
      <c r="E34" s="217" t="str">
        <f ca="1">IF(ISERROR($V34),"",OFFSET('Smelter Look-up'!$D$4,$V34-4,0)&amp;"")</f>
        <v>JAPAN</v>
      </c>
      <c r="F34" s="217" t="str">
        <f ca="1">IF(ISERROR($V34),"",OFFSET('Smelter Look-up'!$E$4,$V34-4,0))</f>
        <v>CID000981</v>
      </c>
      <c r="G34" s="217" t="str">
        <f ca="1">IF(C34=$X$4,"Enter smelter details",IF(ISERROR($V34),"",OFFSET('Smelter Look-up'!$F$4,$V34-4,0)))</f>
        <v>RMI</v>
      </c>
      <c r="H34" s="218">
        <f ca="1">IF(ISERROR($V34),"",OFFSET('Smelter Look-up'!$G$4,$V34-4,0))</f>
        <v>0</v>
      </c>
      <c r="I34" s="219" t="str">
        <f ca="1">IF(ISERROR($V34),"",OFFSET('Smelter Look-up'!$H$4,$V34-4,0))</f>
        <v>Sayama</v>
      </c>
      <c r="J34" s="219" t="str">
        <f ca="1">IF(ISERROR($V34),"",OFFSET('Smelter Look-up'!$I$4,$V34-4,0))</f>
        <v>Saitama</v>
      </c>
      <c r="K34" s="273"/>
      <c r="L34" s="273"/>
      <c r="M34" s="273"/>
      <c r="N34" s="273"/>
      <c r="O34" s="273"/>
      <c r="P34" s="220"/>
      <c r="Q34" s="274"/>
      <c r="R34" s="217" t="str">
        <f ca="1">IF(ISERROR($V34),"",OFFSET('Smelter Look-up'!$C$4,$V34-4,0)&amp;"")</f>
        <v>Kojima Chemicals Co., Ltd.</v>
      </c>
      <c r="S34" s="225" t="str">
        <f t="shared" ca="1" si="3"/>
        <v>JP</v>
      </c>
      <c r="T34" s="225" t="str">
        <f ca="1">IF(B34="","",IF(ISERROR(MATCH($J34,SorP!$B$1:$B$6230,0)),"",INDIRECT("'SorP'!$A$"&amp;MATCH($J34,SorP!$B$1:$B$6230,0))))</f>
        <v>JP-11</v>
      </c>
      <c r="U34" s="241"/>
      <c r="V34" s="275">
        <f ca="1">IF(C34="",NA(),MATCH($B34&amp;$C34,'Smelter Look-up'!$J:$J,0))</f>
        <v>128</v>
      </c>
      <c r="W34" s="276"/>
      <c r="X34" s="276">
        <f t="shared" ca="1" si="4"/>
        <v>0</v>
      </c>
      <c r="Y34" s="276"/>
      <c r="Z34" s="276"/>
      <c r="AB34" s="278" t="str">
        <f t="shared" ca="1" si="5"/>
        <v>GoldKojima Chemicals Co., Ltd.</v>
      </c>
    </row>
    <row r="35" spans="1:28" s="277" customFormat="1" ht="51">
      <c r="A35" s="216" t="s">
        <v>716</v>
      </c>
      <c r="B35" s="217" t="str">
        <f ca="1">IF(LEN(A35)=0,"",INDEX('Smelter Look-up'!$A:$A,MATCH($A35,'Smelter Look-up'!$E:$E,0)))</f>
        <v>Gold</v>
      </c>
      <c r="C35" s="221" t="str">
        <f ca="1">IF(LEN(A35)=0,"",INDEX('Smelter Look-up'!$C:$C,MATCH($A35,'Smelter Look-up'!$E:$E,0)))</f>
        <v>LS-NIKKO Copper Inc.</v>
      </c>
      <c r="D35" s="283"/>
      <c r="E35" s="217" t="str">
        <f ca="1">IF(ISERROR($V35),"",OFFSET('Smelter Look-up'!$D$4,$V35-4,0)&amp;"")</f>
        <v>KOREA, REPUBLIC OF</v>
      </c>
      <c r="F35" s="217" t="str">
        <f ca="1">IF(ISERROR($V35),"",OFFSET('Smelter Look-up'!$E$4,$V35-4,0))</f>
        <v>CID001078</v>
      </c>
      <c r="G35" s="217" t="str">
        <f ca="1">IF(C35=$X$4,"Enter smelter details",IF(ISERROR($V35),"",OFFSET('Smelter Look-up'!$F$4,$V35-4,0)))</f>
        <v>RMI</v>
      </c>
      <c r="H35" s="218">
        <f ca="1">IF(ISERROR($V35),"",OFFSET('Smelter Look-up'!$G$4,$V35-4,0))</f>
        <v>0</v>
      </c>
      <c r="I35" s="219" t="str">
        <f ca="1">IF(ISERROR($V35),"",OFFSET('Smelter Look-up'!$H$4,$V35-4,0))</f>
        <v>Onsan-eup</v>
      </c>
      <c r="J35" s="219" t="str">
        <f ca="1">IF(ISERROR($V35),"",OFFSET('Smelter Look-up'!$I$4,$V35-4,0))</f>
        <v>Ulsan-gwangyeoksi</v>
      </c>
      <c r="K35" s="273"/>
      <c r="L35" s="273"/>
      <c r="M35" s="273"/>
      <c r="N35" s="273"/>
      <c r="O35" s="273"/>
      <c r="P35" s="220"/>
      <c r="Q35" s="274"/>
      <c r="R35" s="217" t="str">
        <f ca="1">IF(ISERROR($V35),"",OFFSET('Smelter Look-up'!$C$4,$V35-4,0)&amp;"")</f>
        <v>LS-NIKKO Copper Inc.</v>
      </c>
      <c r="S35" s="225" t="str">
        <f t="shared" ca="1" si="3"/>
        <v>KR</v>
      </c>
      <c r="T35" s="225" t="str">
        <f ca="1">IF(B35="","",IF(ISERROR(MATCH($J35,SorP!$B$1:$B$6230,0)),"",INDIRECT("'SorP'!$A$"&amp;MATCH($J35,SorP!$B$1:$B$6230,0))))</f>
        <v>KR-31</v>
      </c>
      <c r="U35" s="241"/>
      <c r="V35" s="275">
        <f ca="1">IF(C35="",NA(),MATCH($B35&amp;$C35,'Smelter Look-up'!$J:$J,0))</f>
        <v>143</v>
      </c>
      <c r="W35" s="276"/>
      <c r="X35" s="276">
        <f t="shared" ca="1" si="4"/>
        <v>0</v>
      </c>
      <c r="Y35" s="276"/>
      <c r="Z35" s="276"/>
      <c r="AB35" s="278" t="str">
        <f t="shared" ca="1" si="5"/>
        <v>GoldLS-NIKKO Copper Inc.</v>
      </c>
    </row>
    <row r="36" spans="1:28" s="277" customFormat="1" ht="25.5">
      <c r="A36" s="216" t="s">
        <v>719</v>
      </c>
      <c r="B36" s="217" t="str">
        <f ca="1">IF(LEN(A36)=0,"",INDEX('Smelter Look-up'!$A:$A,MATCH($A36,'Smelter Look-up'!$E:$E,0)))</f>
        <v>Gold</v>
      </c>
      <c r="C36" s="221" t="str">
        <f ca="1">IF(LEN(A36)=0,"",INDEX('Smelter Look-up'!$C:$C,MATCH($A36,'Smelter Look-up'!$E:$E,0)))</f>
        <v>Materion</v>
      </c>
      <c r="D36" s="283"/>
      <c r="E36" s="217" t="str">
        <f ca="1">IF(ISERROR($V36),"",OFFSET('Smelter Look-up'!$D$4,$V36-4,0)&amp;"")</f>
        <v>UNITED STATES OF AMERICA</v>
      </c>
      <c r="F36" s="217" t="str">
        <f ca="1">IF(ISERROR($V36),"",OFFSET('Smelter Look-up'!$E$4,$V36-4,0))</f>
        <v>CID001113</v>
      </c>
      <c r="G36" s="217" t="str">
        <f ca="1">IF(C36=$X$4,"Enter smelter details",IF(ISERROR($V36),"",OFFSET('Smelter Look-up'!$F$4,$V36-4,0)))</f>
        <v>RMI</v>
      </c>
      <c r="H36" s="218">
        <f ca="1">IF(ISERROR($V36),"",OFFSET('Smelter Look-up'!$G$4,$V36-4,0))</f>
        <v>0</v>
      </c>
      <c r="I36" s="219" t="str">
        <f ca="1">IF(ISERROR($V36),"",OFFSET('Smelter Look-up'!$H$4,$V36-4,0))</f>
        <v>Buffalo</v>
      </c>
      <c r="J36" s="219" t="str">
        <f ca="1">IF(ISERROR($V36),"",OFFSET('Smelter Look-up'!$I$4,$V36-4,0))</f>
        <v>New York</v>
      </c>
      <c r="K36" s="273"/>
      <c r="L36" s="273"/>
      <c r="M36" s="273"/>
      <c r="N36" s="273"/>
      <c r="O36" s="273"/>
      <c r="P36" s="220"/>
      <c r="Q36" s="274"/>
      <c r="R36" s="217" t="str">
        <f ca="1">IF(ISERROR($V36),"",OFFSET('Smelter Look-up'!$C$4,$V36-4,0)&amp;"")</f>
        <v>Materion</v>
      </c>
      <c r="S36" s="225" t="str">
        <f t="shared" ca="1" si="3"/>
        <v>US</v>
      </c>
      <c r="T36" s="225" t="str">
        <f ca="1">IF(B36="","",IF(ISERROR(MATCH($J36,SorP!$B$1:$B$6230,0)),"",INDIRECT("'SorP'!$A$"&amp;MATCH($J36,SorP!$B$1:$B$6230,0))))</f>
        <v>US-NY</v>
      </c>
      <c r="U36" s="241"/>
      <c r="V36" s="275">
        <f ca="1">IF(C36="",NA(),MATCH($B36&amp;$C36,'Smelter Look-up'!$J:$J,0))</f>
        <v>149</v>
      </c>
      <c r="W36" s="276"/>
      <c r="X36" s="276">
        <f t="shared" ca="1" si="4"/>
        <v>0</v>
      </c>
      <c r="Y36" s="276"/>
      <c r="Z36" s="276"/>
      <c r="AB36" s="278" t="str">
        <f t="shared" ca="1" si="5"/>
        <v>GoldMaterion</v>
      </c>
    </row>
    <row r="37" spans="1:28" s="277" customFormat="1" ht="89.25">
      <c r="A37" s="216" t="s">
        <v>721</v>
      </c>
      <c r="B37" s="217" t="str">
        <f ca="1">IF(LEN(A37)=0,"",INDEX('Smelter Look-up'!$A:$A,MATCH($A37,'Smelter Look-up'!$E:$E,0)))</f>
        <v>Gold</v>
      </c>
      <c r="C37" s="221" t="str">
        <f ca="1">IF(LEN(A37)=0,"",INDEX('Smelter Look-up'!$C:$C,MATCH($A37,'Smelter Look-up'!$E:$E,0)))</f>
        <v>Metalor Technologies (Hong Kong) Ltd.</v>
      </c>
      <c r="D37" s="283"/>
      <c r="E37" s="217" t="str">
        <f ca="1">IF(ISERROR($V37),"",OFFSET('Smelter Look-up'!$D$4,$V37-4,0)&amp;"")</f>
        <v>CHINA</v>
      </c>
      <c r="F37" s="217" t="str">
        <f ca="1">IF(ISERROR($V37),"",OFFSET('Smelter Look-up'!$E$4,$V37-4,0))</f>
        <v>CID001149</v>
      </c>
      <c r="G37" s="217" t="str">
        <f ca="1">IF(C37=$X$4,"Enter smelter details",IF(ISERROR($V37),"",OFFSET('Smelter Look-up'!$F$4,$V37-4,0)))</f>
        <v>RMI</v>
      </c>
      <c r="H37" s="218">
        <f ca="1">IF(ISERROR($V37),"",OFFSET('Smelter Look-up'!$G$4,$V37-4,0))</f>
        <v>0</v>
      </c>
      <c r="I37" s="219" t="str">
        <f ca="1">IF(ISERROR($V37),"",OFFSET('Smelter Look-up'!$H$4,$V37-4,0))</f>
        <v>Kwai Chung</v>
      </c>
      <c r="J37" s="219" t="str">
        <f ca="1">IF(ISERROR($V37),"",OFFSET('Smelter Look-up'!$I$4,$V37-4,0))</f>
        <v>Hong Kong SAR</v>
      </c>
      <c r="K37" s="273"/>
      <c r="L37" s="273"/>
      <c r="M37" s="273"/>
      <c r="N37" s="273"/>
      <c r="O37" s="273"/>
      <c r="P37" s="220"/>
      <c r="Q37" s="274"/>
      <c r="R37" s="217" t="str">
        <f ca="1">IF(ISERROR($V37),"",OFFSET('Smelter Look-up'!$C$4,$V37-4,0)&amp;"")</f>
        <v>Metalor Technologies (Hong Kong) Ltd.</v>
      </c>
      <c r="S37" s="225" t="str">
        <f t="shared" ca="1" si="3"/>
        <v>CN</v>
      </c>
      <c r="T37" s="225" t="str">
        <f ca="1">IF(B37="","",IF(ISERROR(MATCH($J37,SorP!$B$1:$B$6230,0)),"",INDIRECT("'SorP'!$A$"&amp;MATCH($J37,SorP!$B$1:$B$6230,0))))</f>
        <v>CN-HK</v>
      </c>
      <c r="U37" s="241"/>
      <c r="V37" s="275">
        <f ca="1">IF(C37="",NA(),MATCH($B37&amp;$C37,'Smelter Look-up'!$J:$J,0))</f>
        <v>155</v>
      </c>
      <c r="W37" s="276"/>
      <c r="X37" s="276">
        <f t="shared" ca="1" si="4"/>
        <v>0</v>
      </c>
      <c r="Y37" s="276"/>
      <c r="Z37" s="276"/>
      <c r="AB37" s="278" t="str">
        <f t="shared" ca="1" si="5"/>
        <v>GoldMetalor Technologies (Hong Kong) Ltd.</v>
      </c>
    </row>
    <row r="38" spans="1:28" s="277" customFormat="1" ht="63.75">
      <c r="A38" s="216" t="s">
        <v>723</v>
      </c>
      <c r="B38" s="217" t="str">
        <f ca="1">IF(LEN(A38)=0,"",INDEX('Smelter Look-up'!$A:$A,MATCH($A38,'Smelter Look-up'!$E:$E,0)))</f>
        <v>Gold</v>
      </c>
      <c r="C38" s="221" t="str">
        <f ca="1">IF(LEN(A38)=0,"",INDEX('Smelter Look-up'!$C:$C,MATCH($A38,'Smelter Look-up'!$E:$E,0)))</f>
        <v>Metalor Technologies S.A.</v>
      </c>
      <c r="D38" s="283"/>
      <c r="E38" s="217" t="str">
        <f ca="1">IF(ISERROR($V38),"",OFFSET('Smelter Look-up'!$D$4,$V38-4,0)&amp;"")</f>
        <v>SWITZERLAND</v>
      </c>
      <c r="F38" s="217" t="str">
        <f ca="1">IF(ISERROR($V38),"",OFFSET('Smelter Look-up'!$E$4,$V38-4,0))</f>
        <v>CID001153</v>
      </c>
      <c r="G38" s="217" t="str">
        <f ca="1">IF(C38=$X$4,"Enter smelter details",IF(ISERROR($V38),"",OFFSET('Smelter Look-up'!$F$4,$V38-4,0)))</f>
        <v>RMI</v>
      </c>
      <c r="H38" s="218">
        <f ca="1">IF(ISERROR($V38),"",OFFSET('Smelter Look-up'!$G$4,$V38-4,0))</f>
        <v>0</v>
      </c>
      <c r="I38" s="219" t="str">
        <f ca="1">IF(ISERROR($V38),"",OFFSET('Smelter Look-up'!$H$4,$V38-4,0))</f>
        <v>Marin</v>
      </c>
      <c r="J38" s="219" t="str">
        <f ca="1">IF(ISERROR($V38),"",OFFSET('Smelter Look-up'!$I$4,$V38-4,0))</f>
        <v>Neuchâtel</v>
      </c>
      <c r="K38" s="273"/>
      <c r="L38" s="273"/>
      <c r="M38" s="273"/>
      <c r="N38" s="273"/>
      <c r="O38" s="273"/>
      <c r="P38" s="220"/>
      <c r="Q38" s="274"/>
      <c r="R38" s="217" t="str">
        <f ca="1">IF(ISERROR($V38),"",OFFSET('Smelter Look-up'!$C$4,$V38-4,0)&amp;"")</f>
        <v>Metalor Technologies S.A.</v>
      </c>
      <c r="S38" s="225" t="str">
        <f t="shared" ref="S38:S68" ca="1" si="6">IF(B38="","",IF(ISERROR(MATCH($E38,CL,0)),"Unknown",INDIRECT("'C'!$A$"&amp;MATCH($E38,CL,0)+1)))</f>
        <v>CH</v>
      </c>
      <c r="T38" s="225" t="str">
        <f ca="1">IF(B38="","",IF(ISERROR(MATCH($J38,SorP!$B$1:$B$6230,0)),"",INDIRECT("'SorP'!$A$"&amp;MATCH($J38,SorP!$B$1:$B$6230,0))))</f>
        <v>CH-NE</v>
      </c>
      <c r="U38" s="241"/>
      <c r="V38" s="275">
        <f ca="1">IF(C38="",NA(),MATCH($B38&amp;$C38,'Smelter Look-up'!$J:$J,0))</f>
        <v>158</v>
      </c>
      <c r="W38" s="276"/>
      <c r="X38" s="276">
        <f t="shared" ref="X38:X68" ca="1" si="7">IF(AND(C38="Smelter not listed",OR(LEN(D38)=0,LEN(E38)=0)),1,0)</f>
        <v>0</v>
      </c>
      <c r="Y38" s="276"/>
      <c r="Z38" s="276"/>
      <c r="AB38" s="278" t="str">
        <f t="shared" ref="AB38:AB68" ca="1" si="8">B38&amp;C38</f>
        <v>GoldMetalor Technologies S.A.</v>
      </c>
    </row>
    <row r="39" spans="1:28" s="277" customFormat="1" ht="76.5">
      <c r="A39" s="216" t="s">
        <v>726</v>
      </c>
      <c r="B39" s="217" t="str">
        <f ca="1">IF(LEN(A39)=0,"",INDEX('Smelter Look-up'!$A:$A,MATCH($A39,'Smelter Look-up'!$E:$E,0)))</f>
        <v>Gold</v>
      </c>
      <c r="C39" s="221" t="str">
        <f ca="1">IF(LEN(A39)=0,"",INDEX('Smelter Look-up'!$C:$C,MATCH($A39,'Smelter Look-up'!$E:$E,0)))</f>
        <v>Mitsubishi Materials Corporation</v>
      </c>
      <c r="D39" s="283"/>
      <c r="E39" s="217" t="str">
        <f ca="1">IF(ISERROR($V39),"",OFFSET('Smelter Look-up'!$D$4,$V39-4,0)&amp;"")</f>
        <v>JAPAN</v>
      </c>
      <c r="F39" s="217" t="str">
        <f ca="1">IF(ISERROR($V39),"",OFFSET('Smelter Look-up'!$E$4,$V39-4,0))</f>
        <v>CID001188</v>
      </c>
      <c r="G39" s="217" t="str">
        <f ca="1">IF(C39=$X$4,"Enter smelter details",IF(ISERROR($V39),"",OFFSET('Smelter Look-up'!$F$4,$V39-4,0)))</f>
        <v>RMI</v>
      </c>
      <c r="H39" s="218">
        <f ca="1">IF(ISERROR($V39),"",OFFSET('Smelter Look-up'!$G$4,$V39-4,0))</f>
        <v>0</v>
      </c>
      <c r="I39" s="219" t="str">
        <f ca="1">IF(ISERROR($V39),"",OFFSET('Smelter Look-up'!$H$4,$V39-4,0))</f>
        <v>Naoshima</v>
      </c>
      <c r="J39" s="219" t="str">
        <f ca="1">IF(ISERROR($V39),"",OFFSET('Smelter Look-up'!$I$4,$V39-4,0))</f>
        <v>Kagawa</v>
      </c>
      <c r="K39" s="273"/>
      <c r="L39" s="273"/>
      <c r="M39" s="273"/>
      <c r="N39" s="273"/>
      <c r="O39" s="273"/>
      <c r="P39" s="220"/>
      <c r="Q39" s="274"/>
      <c r="R39" s="217" t="str">
        <f ca="1">IF(ISERROR($V39),"",OFFSET('Smelter Look-up'!$C$4,$V39-4,0)&amp;"")</f>
        <v>Mitsubishi Materials Corporation</v>
      </c>
      <c r="S39" s="225" t="str">
        <f t="shared" ca="1" si="6"/>
        <v>JP</v>
      </c>
      <c r="T39" s="225" t="str">
        <f ca="1">IF(B39="","",IF(ISERROR(MATCH($J39,SorP!$B$1:$B$6230,0)),"",INDIRECT("'SorP'!$A$"&amp;MATCH($J39,SorP!$B$1:$B$6230,0))))</f>
        <v>JP-37</v>
      </c>
      <c r="U39" s="241"/>
      <c r="V39" s="275">
        <f ca="1">IF(C39="",NA(),MATCH($B39&amp;$C39,'Smelter Look-up'!$J:$J,0))</f>
        <v>164</v>
      </c>
      <c r="W39" s="276"/>
      <c r="X39" s="276">
        <f t="shared" ca="1" si="7"/>
        <v>0</v>
      </c>
      <c r="Y39" s="276"/>
      <c r="Z39" s="276"/>
      <c r="AB39" s="278" t="str">
        <f t="shared" ca="1" si="8"/>
        <v>GoldMitsubishi Materials Corporation</v>
      </c>
    </row>
    <row r="40" spans="1:28" s="277" customFormat="1" ht="89.25">
      <c r="A40" s="216" t="s">
        <v>727</v>
      </c>
      <c r="B40" s="217" t="str">
        <f ca="1">IF(LEN(A40)=0,"",INDEX('Smelter Look-up'!$A:$A,MATCH($A40,'Smelter Look-up'!$E:$E,0)))</f>
        <v>Gold</v>
      </c>
      <c r="C40" s="221" t="str">
        <f ca="1">IF(LEN(A40)=0,"",INDEX('Smelter Look-up'!$C:$C,MATCH($A40,'Smelter Look-up'!$E:$E,0)))</f>
        <v>Mitsui Mining and Smelting Co., Ltd.</v>
      </c>
      <c r="D40" s="283"/>
      <c r="E40" s="217" t="str">
        <f ca="1">IF(ISERROR($V40),"",OFFSET('Smelter Look-up'!$D$4,$V40-4,0)&amp;"")</f>
        <v>JAPAN</v>
      </c>
      <c r="F40" s="217" t="str">
        <f ca="1">IF(ISERROR($V40),"",OFFSET('Smelter Look-up'!$E$4,$V40-4,0))</f>
        <v>CID001193</v>
      </c>
      <c r="G40" s="217" t="str">
        <f ca="1">IF(C40=$X$4,"Enter smelter details",IF(ISERROR($V40),"",OFFSET('Smelter Look-up'!$F$4,$V40-4,0)))</f>
        <v>RMI</v>
      </c>
      <c r="H40" s="218">
        <f ca="1">IF(ISERROR($V40),"",OFFSET('Smelter Look-up'!$G$4,$V40-4,0))</f>
        <v>0</v>
      </c>
      <c r="I40" s="219" t="str">
        <f ca="1">IF(ISERROR($V40),"",OFFSET('Smelter Look-up'!$H$4,$V40-4,0))</f>
        <v>Takehara</v>
      </c>
      <c r="J40" s="219" t="str">
        <f ca="1">IF(ISERROR($V40),"",OFFSET('Smelter Look-up'!$I$4,$V40-4,0))</f>
        <v>Hiroshima</v>
      </c>
      <c r="K40" s="273"/>
      <c r="L40" s="273"/>
      <c r="M40" s="273"/>
      <c r="N40" s="273"/>
      <c r="O40" s="273"/>
      <c r="P40" s="220"/>
      <c r="Q40" s="274"/>
      <c r="R40" s="217" t="str">
        <f ca="1">IF(ISERROR($V40),"",OFFSET('Smelter Look-up'!$C$4,$V40-4,0)&amp;"")</f>
        <v>Mitsui Mining and Smelting Co., Ltd.</v>
      </c>
      <c r="S40" s="225" t="str">
        <f t="shared" ca="1" si="6"/>
        <v>JP</v>
      </c>
      <c r="T40" s="225" t="str">
        <f ca="1">IF(B40="","",IF(ISERROR(MATCH($J40,SorP!$B$1:$B$6230,0)),"",INDIRECT("'SorP'!$A$"&amp;MATCH($J40,SorP!$B$1:$B$6230,0))))</f>
        <v>JP-34</v>
      </c>
      <c r="U40" s="241"/>
      <c r="V40" s="275">
        <f ca="1">IF(C40="",NA(),MATCH($B40&amp;$C40,'Smelter Look-up'!$J:$J,0))</f>
        <v>166</v>
      </c>
      <c r="W40" s="276"/>
      <c r="X40" s="276">
        <f t="shared" ca="1" si="7"/>
        <v>0</v>
      </c>
      <c r="Y40" s="276"/>
      <c r="Z40" s="276"/>
      <c r="AB40" s="278" t="str">
        <f t="shared" ca="1" si="8"/>
        <v>GoldMitsui Mining and Smelting Co., Ltd.</v>
      </c>
    </row>
    <row r="41" spans="1:28" s="277" customFormat="1" ht="25.5">
      <c r="A41" s="216" t="s">
        <v>734</v>
      </c>
      <c r="B41" s="217" t="str">
        <f ca="1">IF(LEN(A41)=0,"",INDEX('Smelter Look-up'!$A:$A,MATCH($A41,'Smelter Look-up'!$E:$E,0)))</f>
        <v>Gold</v>
      </c>
      <c r="C41" s="221" t="str">
        <f ca="1">IF(LEN(A41)=0,"",INDEX('Smelter Look-up'!$C:$C,MATCH($A41,'Smelter Look-up'!$E:$E,0)))</f>
        <v>PAMP S.A.</v>
      </c>
      <c r="D41" s="283"/>
      <c r="E41" s="217" t="str">
        <f ca="1">IF(ISERROR($V41),"",OFFSET('Smelter Look-up'!$D$4,$V41-4,0)&amp;"")</f>
        <v>SWITZERLAND</v>
      </c>
      <c r="F41" s="217" t="str">
        <f ca="1">IF(ISERROR($V41),"",OFFSET('Smelter Look-up'!$E$4,$V41-4,0))</f>
        <v>CID001352</v>
      </c>
      <c r="G41" s="217" t="str">
        <f ca="1">IF(C41=$X$4,"Enter smelter details",IF(ISERROR($V41),"",OFFSET('Smelter Look-up'!$F$4,$V41-4,0)))</f>
        <v>RMI</v>
      </c>
      <c r="H41" s="218">
        <f ca="1">IF(ISERROR($V41),"",OFFSET('Smelter Look-up'!$G$4,$V41-4,0))</f>
        <v>0</v>
      </c>
      <c r="I41" s="219" t="str">
        <f ca="1">IF(ISERROR($V41),"",OFFSET('Smelter Look-up'!$H$4,$V41-4,0))</f>
        <v>Castel San Pietro</v>
      </c>
      <c r="J41" s="219" t="str">
        <f ca="1">IF(ISERROR($V41),"",OFFSET('Smelter Look-up'!$I$4,$V41-4,0))</f>
        <v>Ticino</v>
      </c>
      <c r="K41" s="273"/>
      <c r="L41" s="273"/>
      <c r="M41" s="273"/>
      <c r="N41" s="273"/>
      <c r="O41" s="273"/>
      <c r="P41" s="220"/>
      <c r="Q41" s="274"/>
      <c r="R41" s="217" t="str">
        <f ca="1">IF(ISERROR($V41),"",OFFSET('Smelter Look-up'!$C$4,$V41-4,0)&amp;"")</f>
        <v>PAMP S.A.</v>
      </c>
      <c r="S41" s="225" t="str">
        <f t="shared" ca="1" si="6"/>
        <v>CH</v>
      </c>
      <c r="T41" s="225" t="str">
        <f ca="1">IF(B41="","",IF(ISERROR(MATCH($J41,SorP!$B$1:$B$6230,0)),"",INDIRECT("'SorP'!$A$"&amp;MATCH($J41,SorP!$B$1:$B$6230,0))))</f>
        <v>CH-TI</v>
      </c>
      <c r="U41" s="241"/>
      <c r="V41" s="275">
        <f ca="1">IF(C41="",NA(),MATCH($B41&amp;$C41,'Smelter Look-up'!$J:$J,0))</f>
        <v>184</v>
      </c>
      <c r="W41" s="276"/>
      <c r="X41" s="276">
        <f t="shared" ca="1" si="7"/>
        <v>0</v>
      </c>
      <c r="Y41" s="276"/>
      <c r="Z41" s="276"/>
      <c r="AB41" s="278" t="str">
        <f t="shared" ca="1" si="8"/>
        <v>GoldPAMP S.A.</v>
      </c>
    </row>
    <row r="42" spans="1:28" s="277" customFormat="1" ht="63.75">
      <c r="A42" s="216" t="s">
        <v>743</v>
      </c>
      <c r="B42" s="217" t="str">
        <f ca="1">IF(LEN(A42)=0,"",INDEX('Smelter Look-up'!$A:$A,MATCH($A42,'Smelter Look-up'!$E:$E,0)))</f>
        <v>Gold</v>
      </c>
      <c r="C42" s="221" t="str">
        <f ca="1">IF(LEN(A42)=0,"",INDEX('Smelter Look-up'!$C:$C,MATCH($A42,'Smelter Look-up'!$E:$E,0)))</f>
        <v>SEMPSA Joyeria Plateria S.A.</v>
      </c>
      <c r="D42" s="283"/>
      <c r="E42" s="217" t="str">
        <f ca="1">IF(ISERROR($V42),"",OFFSET('Smelter Look-up'!$D$4,$V42-4,0)&amp;"")</f>
        <v>SPAIN</v>
      </c>
      <c r="F42" s="217" t="str">
        <f ca="1">IF(ISERROR($V42),"",OFFSET('Smelter Look-up'!$E$4,$V42-4,0))</f>
        <v>CID001585</v>
      </c>
      <c r="G42" s="217" t="str">
        <f ca="1">IF(C42=$X$4,"Enter smelter details",IF(ISERROR($V42),"",OFFSET('Smelter Look-up'!$F$4,$V42-4,0)))</f>
        <v>RMI</v>
      </c>
      <c r="H42" s="218">
        <f ca="1">IF(ISERROR($V42),"",OFFSET('Smelter Look-up'!$G$4,$V42-4,0))</f>
        <v>0</v>
      </c>
      <c r="I42" s="219" t="str">
        <f ca="1">IF(ISERROR($V42),"",OFFSET('Smelter Look-up'!$H$4,$V42-4,0))</f>
        <v>Madrid</v>
      </c>
      <c r="J42" s="219" t="str">
        <f ca="1">IF(ISERROR($V42),"",OFFSET('Smelter Look-up'!$I$4,$V42-4,0))</f>
        <v>Madrid, Comunidad de</v>
      </c>
      <c r="K42" s="273"/>
      <c r="L42" s="273"/>
      <c r="M42" s="273"/>
      <c r="N42" s="273"/>
      <c r="O42" s="273"/>
      <c r="P42" s="220"/>
      <c r="Q42" s="274"/>
      <c r="R42" s="217" t="str">
        <f ca="1">IF(ISERROR($V42),"",OFFSET('Smelter Look-up'!$C$4,$V42-4,0)&amp;"")</f>
        <v>SEMPSA Joyeria Plateria S.A.</v>
      </c>
      <c r="S42" s="225" t="str">
        <f t="shared" ca="1" si="6"/>
        <v>ES</v>
      </c>
      <c r="T42" s="225" t="str">
        <f ca="1">IF(B42="","",IF(ISERROR(MATCH($J42,SorP!$B$1:$B$6230,0)),"",INDIRECT("'SorP'!$A$"&amp;MATCH($J42,SorP!$B$1:$B$6230,0))))</f>
        <v>ES-MD</v>
      </c>
      <c r="U42" s="241"/>
      <c r="V42" s="275">
        <f ca="1">IF(C42="",NA(),MATCH($B42&amp;$C42,'Smelter Look-up'!$J:$J,0))</f>
        <v>214</v>
      </c>
      <c r="W42" s="276"/>
      <c r="X42" s="276">
        <f t="shared" ca="1" si="7"/>
        <v>0</v>
      </c>
      <c r="Y42" s="276"/>
      <c r="Z42" s="276"/>
      <c r="AB42" s="278" t="str">
        <f t="shared" ca="1" si="8"/>
        <v>GoldSEMPSA Joyeria Plateria S.A.</v>
      </c>
    </row>
    <row r="43" spans="1:28" s="277" customFormat="1" ht="102">
      <c r="A43" s="216" t="s">
        <v>744</v>
      </c>
      <c r="B43" s="217" t="str">
        <f ca="1">IF(LEN(A43)=0,"",INDEX('Smelter Look-up'!$A:$A,MATCH($A43,'Smelter Look-up'!$E:$E,0)))</f>
        <v>Gold</v>
      </c>
      <c r="C43" s="221" t="str">
        <f ca="1">IF(LEN(A43)=0,"",INDEX('Smelter Look-up'!$C:$C,MATCH($A43,'Smelter Look-up'!$E:$E,0)))</f>
        <v>Shandong Zhaojin Gold &amp; Silver Refinery Co., Ltd.</v>
      </c>
      <c r="D43" s="283"/>
      <c r="E43" s="217" t="str">
        <f ca="1">IF(ISERROR($V43),"",OFFSET('Smelter Look-up'!$D$4,$V43-4,0)&amp;"")</f>
        <v>CHINA</v>
      </c>
      <c r="F43" s="217" t="str">
        <f ca="1">IF(ISERROR($V43),"",OFFSET('Smelter Look-up'!$E$4,$V43-4,0))</f>
        <v>CID001622</v>
      </c>
      <c r="G43" s="217" t="str">
        <f ca="1">IF(C43=$X$4,"Enter smelter details",IF(ISERROR($V43),"",OFFSET('Smelter Look-up'!$F$4,$V43-4,0)))</f>
        <v>RMI</v>
      </c>
      <c r="H43" s="218">
        <f ca="1">IF(ISERROR($V43),"",OFFSET('Smelter Look-up'!$G$4,$V43-4,0))</f>
        <v>0</v>
      </c>
      <c r="I43" s="219" t="str">
        <f ca="1">IF(ISERROR($V43),"",OFFSET('Smelter Look-up'!$H$4,$V43-4,0))</f>
        <v>Zhaoyuan</v>
      </c>
      <c r="J43" s="219" t="str">
        <f ca="1">IF(ISERROR($V43),"",OFFSET('Smelter Look-up'!$I$4,$V43-4,0))</f>
        <v>Shandong Sheng</v>
      </c>
      <c r="K43" s="273"/>
      <c r="L43" s="273"/>
      <c r="M43" s="273"/>
      <c r="N43" s="273"/>
      <c r="O43" s="273"/>
      <c r="P43" s="220"/>
      <c r="Q43" s="274"/>
      <c r="R43" s="217" t="str">
        <f ca="1">IF(ISERROR($V43),"",OFFSET('Smelter Look-up'!$C$4,$V43-4,0)&amp;"")</f>
        <v>Shandong Zhaojin Gold &amp; Silver Refinery Co., Ltd.</v>
      </c>
      <c r="S43" s="225" t="str">
        <f t="shared" ca="1" si="6"/>
        <v>CN</v>
      </c>
      <c r="T43" s="225" t="str">
        <f ca="1">IF(B43="","",IF(ISERROR(MATCH($J43,SorP!$B$1:$B$6230,0)),"",INDIRECT("'SorP'!$A$"&amp;MATCH($J43,SorP!$B$1:$B$6230,0))))</f>
        <v>CN-SD</v>
      </c>
      <c r="U43" s="241"/>
      <c r="V43" s="275">
        <f ca="1">IF(C43="",NA(),MATCH($B43&amp;$C43,'Smelter Look-up'!$J:$J,0))</f>
        <v>223</v>
      </c>
      <c r="W43" s="276"/>
      <c r="X43" s="276">
        <f t="shared" ca="1" si="7"/>
        <v>0</v>
      </c>
      <c r="Y43" s="276"/>
      <c r="Z43" s="276"/>
      <c r="AB43" s="278" t="str">
        <f t="shared" ca="1" si="8"/>
        <v>GoldShandong Zhaojin Gold &amp; Silver Refinery Co., Ltd.</v>
      </c>
    </row>
    <row r="44" spans="1:28" s="277" customFormat="1" ht="102">
      <c r="A44" s="216" t="s">
        <v>746</v>
      </c>
      <c r="B44" s="217" t="str">
        <f ca="1">IF(LEN(A44)=0,"",INDEX('Smelter Look-up'!$A:$A,MATCH($A44,'Smelter Look-up'!$E:$E,0)))</f>
        <v>Gold</v>
      </c>
      <c r="C44" s="221" t="str">
        <f ca="1">IF(LEN(A44)=0,"",INDEX('Smelter Look-up'!$C:$C,MATCH($A44,'Smelter Look-up'!$E:$E,0)))</f>
        <v>Solar Applied Materials Technology Corp.</v>
      </c>
      <c r="D44" s="283"/>
      <c r="E44" s="217" t="str">
        <f ca="1">IF(ISERROR($V44),"",OFFSET('Smelter Look-up'!$D$4,$V44-4,0)&amp;"")</f>
        <v>TAIWAN, PROVINCE OF CHINA</v>
      </c>
      <c r="F44" s="217" t="str">
        <f ca="1">IF(ISERROR($V44),"",OFFSET('Smelter Look-up'!$E$4,$V44-4,0))</f>
        <v>CID001761</v>
      </c>
      <c r="G44" s="217" t="str">
        <f ca="1">IF(C44=$X$4,"Enter smelter details",IF(ISERROR($V44),"",OFFSET('Smelter Look-up'!$F$4,$V44-4,0)))</f>
        <v>RMI</v>
      </c>
      <c r="H44" s="218">
        <f ca="1">IF(ISERROR($V44),"",OFFSET('Smelter Look-up'!$G$4,$V44-4,0))</f>
        <v>0</v>
      </c>
      <c r="I44" s="219" t="str">
        <f ca="1">IF(ISERROR($V44),"",OFFSET('Smelter Look-up'!$H$4,$V44-4,0))</f>
        <v>Tainan City</v>
      </c>
      <c r="J44" s="219" t="str">
        <f ca="1">IF(ISERROR($V44),"",OFFSET('Smelter Look-up'!$I$4,$V44-4,0))</f>
        <v>Tainan</v>
      </c>
      <c r="K44" s="273"/>
      <c r="L44" s="273"/>
      <c r="M44" s="273"/>
      <c r="N44" s="273"/>
      <c r="O44" s="273"/>
      <c r="P44" s="220"/>
      <c r="Q44" s="274"/>
      <c r="R44" s="217" t="str">
        <f ca="1">IF(ISERROR($V44),"",OFFSET('Smelter Look-up'!$C$4,$V44-4,0)&amp;"")</f>
        <v>Solar Applied Materials Technology Corp.</v>
      </c>
      <c r="S44" s="225" t="str">
        <f t="shared" ca="1" si="6"/>
        <v>TW</v>
      </c>
      <c r="T44" s="225" t="str">
        <f ca="1">IF(B44="","",IF(ISERROR(MATCH($J44,SorP!$B$1:$B$6230,0)),"",INDIRECT("'SorP'!$A$"&amp;MATCH($J44,SorP!$B$1:$B$6230,0))))</f>
        <v>TW-TNN</v>
      </c>
      <c r="U44" s="241"/>
      <c r="V44" s="275">
        <f ca="1">IF(C44="",NA(),MATCH($B44&amp;$C44,'Smelter Look-up'!$J:$J,0))</f>
        <v>233</v>
      </c>
      <c r="W44" s="276"/>
      <c r="X44" s="276">
        <f t="shared" ca="1" si="7"/>
        <v>0</v>
      </c>
      <c r="Y44" s="276"/>
      <c r="Z44" s="276"/>
      <c r="AB44" s="278" t="str">
        <f t="shared" ca="1" si="8"/>
        <v>GoldSolar Applied Materials Technology Corp.</v>
      </c>
    </row>
    <row r="45" spans="1:28" s="277" customFormat="1" ht="76.5">
      <c r="A45" s="216" t="s">
        <v>747</v>
      </c>
      <c r="B45" s="217" t="str">
        <f ca="1">IF(LEN(A45)=0,"",INDEX('Smelter Look-up'!$A:$A,MATCH($A45,'Smelter Look-up'!$E:$E,0)))</f>
        <v>Gold</v>
      </c>
      <c r="C45" s="221" t="str">
        <f ca="1">IF(LEN(A45)=0,"",INDEX('Smelter Look-up'!$C:$C,MATCH($A45,'Smelter Look-up'!$E:$E,0)))</f>
        <v>Sumitomo Metal Mining Co., Ltd.</v>
      </c>
      <c r="D45" s="283"/>
      <c r="E45" s="217" t="str">
        <f ca="1">IF(ISERROR($V45),"",OFFSET('Smelter Look-up'!$D$4,$V45-4,0)&amp;"")</f>
        <v>JAPAN</v>
      </c>
      <c r="F45" s="217" t="str">
        <f ca="1">IF(ISERROR($V45),"",OFFSET('Smelter Look-up'!$E$4,$V45-4,0))</f>
        <v>CID001798</v>
      </c>
      <c r="G45" s="217" t="str">
        <f ca="1">IF(C45=$X$4,"Enter smelter details",IF(ISERROR($V45),"",OFFSET('Smelter Look-up'!$F$4,$V45-4,0)))</f>
        <v>RMI</v>
      </c>
      <c r="H45" s="218">
        <f ca="1">IF(ISERROR($V45),"",OFFSET('Smelter Look-up'!$G$4,$V45-4,0))</f>
        <v>0</v>
      </c>
      <c r="I45" s="219" t="str">
        <f ca="1">IF(ISERROR($V45),"",OFFSET('Smelter Look-up'!$H$4,$V45-4,0))</f>
        <v>Saijo</v>
      </c>
      <c r="J45" s="219" t="str">
        <f ca="1">IF(ISERROR($V45),"",OFFSET('Smelter Look-up'!$I$4,$V45-4,0))</f>
        <v>Ehime</v>
      </c>
      <c r="K45" s="273"/>
      <c r="L45" s="273"/>
      <c r="M45" s="273"/>
      <c r="N45" s="273"/>
      <c r="O45" s="273"/>
      <c r="P45" s="220"/>
      <c r="Q45" s="274"/>
      <c r="R45" s="217" t="str">
        <f ca="1">IF(ISERROR($V45),"",OFFSET('Smelter Look-up'!$C$4,$V45-4,0)&amp;"")</f>
        <v>Sumitomo Metal Mining Co., Ltd.</v>
      </c>
      <c r="S45" s="225" t="str">
        <f t="shared" ca="1" si="6"/>
        <v>JP</v>
      </c>
      <c r="T45" s="225" t="str">
        <f ca="1">IF(B45="","",IF(ISERROR(MATCH($J45,SorP!$B$1:$B$6230,0)),"",INDIRECT("'SorP'!$A$"&amp;MATCH($J45,SorP!$B$1:$B$6230,0))))</f>
        <v>JP-38</v>
      </c>
      <c r="U45" s="241"/>
      <c r="V45" s="275">
        <f ca="1">IF(C45="",NA(),MATCH($B45&amp;$C45,'Smelter Look-up'!$J:$J,0))</f>
        <v>240</v>
      </c>
      <c r="W45" s="276"/>
      <c r="X45" s="276">
        <f t="shared" ca="1" si="7"/>
        <v>0</v>
      </c>
      <c r="Y45" s="276"/>
      <c r="Z45" s="276"/>
      <c r="AB45" s="278" t="str">
        <f t="shared" ca="1" si="8"/>
        <v>GoldSumitomo Metal Mining Co., Ltd.</v>
      </c>
    </row>
    <row r="46" spans="1:28" s="277" customFormat="1" ht="63.75">
      <c r="A46" s="216" t="s">
        <v>751</v>
      </c>
      <c r="B46" s="217" t="str">
        <f ca="1">IF(LEN(A46)=0,"",INDEX('Smelter Look-up'!$A:$A,MATCH($A46,'Smelter Look-up'!$E:$E,0)))</f>
        <v>Gold</v>
      </c>
      <c r="C46" s="221" t="str">
        <f ca="1">IF(LEN(A46)=0,"",INDEX('Smelter Look-up'!$C:$C,MATCH($A46,'Smelter Look-up'!$E:$E,0)))</f>
        <v>Tokuriki Honten Co., Ltd.</v>
      </c>
      <c r="D46" s="283"/>
      <c r="E46" s="217" t="str">
        <f ca="1">IF(ISERROR($V46),"",OFFSET('Smelter Look-up'!$D$4,$V46-4,0)&amp;"")</f>
        <v>JAPAN</v>
      </c>
      <c r="F46" s="217" t="str">
        <f ca="1">IF(ISERROR($V46),"",OFFSET('Smelter Look-up'!$E$4,$V46-4,0))</f>
        <v>CID001938</v>
      </c>
      <c r="G46" s="217" t="str">
        <f ca="1">IF(C46=$X$4,"Enter smelter details",IF(ISERROR($V46),"",OFFSET('Smelter Look-up'!$F$4,$V46-4,0)))</f>
        <v>RMI</v>
      </c>
      <c r="H46" s="218">
        <f ca="1">IF(ISERROR($V46),"",OFFSET('Smelter Look-up'!$G$4,$V46-4,0))</f>
        <v>0</v>
      </c>
      <c r="I46" s="219" t="str">
        <f ca="1">IF(ISERROR($V46),"",OFFSET('Smelter Look-up'!$H$4,$V46-4,0))</f>
        <v>Kuki</v>
      </c>
      <c r="J46" s="219" t="str">
        <f ca="1">IF(ISERROR($V46),"",OFFSET('Smelter Look-up'!$I$4,$V46-4,0))</f>
        <v>Saitama</v>
      </c>
      <c r="K46" s="273"/>
      <c r="L46" s="273"/>
      <c r="M46" s="273"/>
      <c r="N46" s="273"/>
      <c r="O46" s="273"/>
      <c r="P46" s="220"/>
      <c r="Q46" s="274"/>
      <c r="R46" s="217" t="str">
        <f ca="1">IF(ISERROR($V46),"",OFFSET('Smelter Look-up'!$C$4,$V46-4,0)&amp;"")</f>
        <v>Tokuriki Honten Co., Ltd.</v>
      </c>
      <c r="S46" s="225" t="str">
        <f t="shared" ca="1" si="6"/>
        <v>JP</v>
      </c>
      <c r="T46" s="225" t="str">
        <f ca="1">IF(B46="","",IF(ISERROR(MATCH($J46,SorP!$B$1:$B$6230,0)),"",INDIRECT("'SorP'!$A$"&amp;MATCH($J46,SorP!$B$1:$B$6230,0))))</f>
        <v>JP-11</v>
      </c>
      <c r="U46" s="241"/>
      <c r="V46" s="275">
        <f ca="1">IF(C46="",NA(),MATCH($B46&amp;$C46,'Smelter Look-up'!$J:$J,0))</f>
        <v>257</v>
      </c>
      <c r="W46" s="276"/>
      <c r="X46" s="276">
        <f t="shared" ca="1" si="7"/>
        <v>0</v>
      </c>
      <c r="Y46" s="276"/>
      <c r="Z46" s="276"/>
      <c r="AB46" s="278" t="str">
        <f t="shared" ca="1" si="8"/>
        <v>GoldTokuriki Honten Co., Ltd.</v>
      </c>
    </row>
    <row r="47" spans="1:28" s="277" customFormat="1" ht="102">
      <c r="A47" s="216" t="s">
        <v>758</v>
      </c>
      <c r="B47" s="217" t="str">
        <f ca="1">IF(LEN(A47)=0,"",INDEX('Smelter Look-up'!$A:$A,MATCH($A47,'Smelter Look-up'!$E:$E,0)))</f>
        <v>Gold</v>
      </c>
      <c r="C47" s="221" t="str">
        <f ca="1">IF(LEN(A47)=0,"",INDEX('Smelter Look-up'!$C:$C,MATCH($A47,'Smelter Look-up'!$E:$E,0)))</f>
        <v>Western Australian Mint (T/a The Perth Mint)</v>
      </c>
      <c r="D47" s="283"/>
      <c r="E47" s="217" t="str">
        <f ca="1">IF(ISERROR($V47),"",OFFSET('Smelter Look-up'!$D$4,$V47-4,0)&amp;"")</f>
        <v>AUSTRALIA</v>
      </c>
      <c r="F47" s="217" t="str">
        <f ca="1">IF(ISERROR($V47),"",OFFSET('Smelter Look-up'!$E$4,$V47-4,0))</f>
        <v>CID002030</v>
      </c>
      <c r="G47" s="217" t="str">
        <f ca="1">IF(C47=$X$4,"Enter smelter details",IF(ISERROR($V47),"",OFFSET('Smelter Look-up'!$F$4,$V47-4,0)))</f>
        <v>RMI</v>
      </c>
      <c r="H47" s="218">
        <f ca="1">IF(ISERROR($V47),"",OFFSET('Smelter Look-up'!$G$4,$V47-4,0))</f>
        <v>0</v>
      </c>
      <c r="I47" s="219" t="str">
        <f ca="1">IF(ISERROR($V47),"",OFFSET('Smelter Look-up'!$H$4,$V47-4,0))</f>
        <v>Newburn</v>
      </c>
      <c r="J47" s="219" t="str">
        <f ca="1">IF(ISERROR($V47),"",OFFSET('Smelter Look-up'!$I$4,$V47-4,0))</f>
        <v>Western Australia</v>
      </c>
      <c r="K47" s="273"/>
      <c r="L47" s="273"/>
      <c r="M47" s="273"/>
      <c r="N47" s="273"/>
      <c r="O47" s="273"/>
      <c r="P47" s="220"/>
      <c r="Q47" s="274"/>
      <c r="R47" s="217" t="str">
        <f ca="1">IF(ISERROR($V47),"",OFFSET('Smelter Look-up'!$C$4,$V47-4,0)&amp;"")</f>
        <v>Western Australian Mint (T/a The Perth Mint)</v>
      </c>
      <c r="S47" s="225" t="str">
        <f t="shared" ca="1" si="6"/>
        <v>AU</v>
      </c>
      <c r="T47" s="225" t="str">
        <f ca="1">IF(B47="","",IF(ISERROR(MATCH($J47,SorP!$B$1:$B$6230,0)),"",INDIRECT("'SorP'!$A$"&amp;MATCH($J47,SorP!$B$1:$B$6230,0))))</f>
        <v>AU-WA</v>
      </c>
      <c r="U47" s="241"/>
      <c r="V47" s="275">
        <f ca="1">IF(C47="",NA(),MATCH($B47&amp;$C47,'Smelter Look-up'!$J:$J,0))</f>
        <v>270</v>
      </c>
      <c r="W47" s="276"/>
      <c r="X47" s="276">
        <f t="shared" ca="1" si="7"/>
        <v>0</v>
      </c>
      <c r="Y47" s="276"/>
      <c r="Z47" s="276"/>
      <c r="AB47" s="278" t="str">
        <f t="shared" ca="1" si="8"/>
        <v>GoldWestern Australian Mint (T/a The Perth Mint)</v>
      </c>
    </row>
    <row r="48" spans="1:28" s="277" customFormat="1" ht="114.75">
      <c r="A48" s="216" t="s">
        <v>762</v>
      </c>
      <c r="B48" s="217" t="str">
        <f ca="1">IF(LEN(A48)=0,"",INDEX('Smelter Look-up'!$A:$A,MATCH($A48,'Smelter Look-up'!$E:$E,0)))</f>
        <v>Gold</v>
      </c>
      <c r="C48" s="221" t="str">
        <f ca="1">IF(LEN(A48)=0,"",INDEX('Smelter Look-up'!$C:$C,MATCH($A48,'Smelter Look-up'!$E:$E,0)))</f>
        <v>Zhongyuan Gold Smelter of Zhongjin Gold Corporation</v>
      </c>
      <c r="D48" s="283"/>
      <c r="E48" s="217" t="str">
        <f ca="1">IF(ISERROR($V48),"",OFFSET('Smelter Look-up'!$D$4,$V48-4,0)&amp;"")</f>
        <v>CHINA</v>
      </c>
      <c r="F48" s="217" t="str">
        <f ca="1">IF(ISERROR($V48),"",OFFSET('Smelter Look-up'!$E$4,$V48-4,0))</f>
        <v>CID002224</v>
      </c>
      <c r="G48" s="217" t="str">
        <f ca="1">IF(C48=$X$4,"Enter smelter details",IF(ISERROR($V48),"",OFFSET('Smelter Look-up'!$F$4,$V48-4,0)))</f>
        <v>RMI</v>
      </c>
      <c r="H48" s="218">
        <f ca="1">IF(ISERROR($V48),"",OFFSET('Smelter Look-up'!$G$4,$V48-4,0))</f>
        <v>0</v>
      </c>
      <c r="I48" s="219" t="str">
        <f ca="1">IF(ISERROR($V48),"",OFFSET('Smelter Look-up'!$H$4,$V48-4,0))</f>
        <v>Sanmenxia</v>
      </c>
      <c r="J48" s="219" t="str">
        <f ca="1">IF(ISERROR($V48),"",OFFSET('Smelter Look-up'!$I$4,$V48-4,0))</f>
        <v>Henan Sheng</v>
      </c>
      <c r="K48" s="273"/>
      <c r="L48" s="273"/>
      <c r="M48" s="273"/>
      <c r="N48" s="273"/>
      <c r="O48" s="273"/>
      <c r="P48" s="220"/>
      <c r="Q48" s="274"/>
      <c r="R48" s="217" t="str">
        <f ca="1">IF(ISERROR($V48),"",OFFSET('Smelter Look-up'!$C$4,$V48-4,0)&amp;"")</f>
        <v>Zhongyuan Gold Smelter of Zhongjin Gold Corporation</v>
      </c>
      <c r="S48" s="225" t="str">
        <f t="shared" ca="1" si="6"/>
        <v>CN</v>
      </c>
      <c r="T48" s="225" t="str">
        <f ca="1">IF(B48="","",IF(ISERROR(MATCH($J48,SorP!$B$1:$B$6230,0)),"",INDIRECT("'SorP'!$A$"&amp;MATCH($J48,SorP!$B$1:$B$6230,0))))</f>
        <v>CN-HA</v>
      </c>
      <c r="U48" s="241"/>
      <c r="V48" s="275">
        <f ca="1">IF(C48="",NA(),MATCH($B48&amp;$C48,'Smelter Look-up'!$J:$J,0))</f>
        <v>290</v>
      </c>
      <c r="W48" s="276"/>
      <c r="X48" s="276">
        <f t="shared" ca="1" si="7"/>
        <v>0</v>
      </c>
      <c r="Y48" s="276"/>
      <c r="Z48" s="276"/>
      <c r="AB48" s="278" t="str">
        <f t="shared" ca="1" si="8"/>
        <v>GoldZhongyuan Gold Smelter of Zhongjin Gold Corporation</v>
      </c>
    </row>
    <row r="49" spans="1:28" s="277" customFormat="1" ht="127.5">
      <c r="A49" s="216" t="s">
        <v>2316</v>
      </c>
      <c r="B49" s="217" t="str">
        <f ca="1">IF(LEN(A49)=0,"",INDEX('Smelter Look-up'!$A:$A,MATCH($A49,'Smelter Look-up'!$E:$E,0)))</f>
        <v>Gold</v>
      </c>
      <c r="C49" s="221" t="str">
        <f ca="1">IF(LEN(A49)=0,"",INDEX('Smelter Look-up'!$C:$C,MATCH($A49,'Smelter Look-up'!$E:$E,0)))</f>
        <v>Ogussa Osterreichische Gold- und Silber-Scheideanstalt GmbH</v>
      </c>
      <c r="D49" s="283"/>
      <c r="E49" s="217" t="str">
        <f ca="1">IF(ISERROR($V49),"",OFFSET('Smelter Look-up'!$D$4,$V49-4,0)&amp;"")</f>
        <v>AUSTRIA</v>
      </c>
      <c r="F49" s="217" t="str">
        <f ca="1">IF(ISERROR($V49),"",OFFSET('Smelter Look-up'!$E$4,$V49-4,0))</f>
        <v>CID002779</v>
      </c>
      <c r="G49" s="217" t="str">
        <f ca="1">IF(C49=$X$4,"Enter smelter details",IF(ISERROR($V49),"",OFFSET('Smelter Look-up'!$F$4,$V49-4,0)))</f>
        <v>RMI</v>
      </c>
      <c r="H49" s="218">
        <f ca="1">IF(ISERROR($V49),"",OFFSET('Smelter Look-up'!$G$4,$V49-4,0))</f>
        <v>0</v>
      </c>
      <c r="I49" s="219" t="str">
        <f ca="1">IF(ISERROR($V49),"",OFFSET('Smelter Look-up'!$H$4,$V49-4,0))</f>
        <v>Vienna</v>
      </c>
      <c r="J49" s="219" t="str">
        <f ca="1">IF(ISERROR($V49),"",OFFSET('Smelter Look-up'!$I$4,$V49-4,0))</f>
        <v>Wien</v>
      </c>
      <c r="K49" s="273"/>
      <c r="L49" s="273"/>
      <c r="M49" s="273"/>
      <c r="N49" s="273"/>
      <c r="O49" s="273"/>
      <c r="P49" s="220"/>
      <c r="Q49" s="274"/>
      <c r="R49" s="217" t="str">
        <f ca="1">IF(ISERROR($V49),"",OFFSET('Smelter Look-up'!$C$4,$V49-4,0)&amp;"")</f>
        <v>Ogussa Osterreichische Gold- und Silber-Scheideanstalt GmbH</v>
      </c>
      <c r="S49" s="225" t="str">
        <f t="shared" ca="1" si="6"/>
        <v>AT</v>
      </c>
      <c r="T49" s="225" t="str">
        <f ca="1">IF(B49="","",IF(ISERROR(MATCH($J49,SorP!$B$1:$B$6230,0)),"",INDIRECT("'SorP'!$A$"&amp;MATCH($J49,SorP!$B$1:$B$6230,0))))</f>
        <v>AT-9</v>
      </c>
      <c r="U49" s="241"/>
      <c r="V49" s="275">
        <f ca="1">IF(C49="",NA(),MATCH($B49&amp;$C49,'Smelter Look-up'!$J:$J,0))</f>
        <v>178</v>
      </c>
      <c r="W49" s="276"/>
      <c r="X49" s="276">
        <f t="shared" ca="1" si="7"/>
        <v>0</v>
      </c>
      <c r="Y49" s="276"/>
      <c r="Z49" s="276"/>
      <c r="AB49" s="278" t="str">
        <f t="shared" ca="1" si="8"/>
        <v>GoldOgussa Osterreichische Gold- und Silber-Scheideanstalt GmbH</v>
      </c>
    </row>
    <row r="50" spans="1:28" s="277" customFormat="1" ht="76.5">
      <c r="A50" s="216" t="s">
        <v>1408</v>
      </c>
      <c r="B50" s="217" t="str">
        <f ca="1">IF(LEN(A50)=0,"",INDEX('Smelter Look-up'!$A:$A,MATCH($A50,'Smelter Look-up'!$E:$E,0)))</f>
        <v>Gold</v>
      </c>
      <c r="C50" s="221" t="str">
        <f ca="1">IF(LEN(A50)=0,"",INDEX('Smelter Look-up'!$C:$C,MATCH($A50,'Smelter Look-up'!$E:$E,0)))</f>
        <v>Advanced Chemical Company</v>
      </c>
      <c r="D50" s="283"/>
      <c r="E50" s="217" t="str">
        <f ca="1">IF(ISERROR($V50),"",OFFSET('Smelter Look-up'!$D$4,$V50-4,0)&amp;"")</f>
        <v>UNITED STATES OF AMERICA</v>
      </c>
      <c r="F50" s="217" t="str">
        <f ca="1">IF(ISERROR($V50),"",OFFSET('Smelter Look-up'!$E$4,$V50-4,0))</f>
        <v>CID000015</v>
      </c>
      <c r="G50" s="217" t="str">
        <f ca="1">IF(C50=$X$4,"Enter smelter details",IF(ISERROR($V50),"",OFFSET('Smelter Look-up'!$F$4,$V50-4,0)))</f>
        <v>RMI</v>
      </c>
      <c r="H50" s="218">
        <f ca="1">IF(ISERROR($V50),"",OFFSET('Smelter Look-up'!$G$4,$V50-4,0))</f>
        <v>0</v>
      </c>
      <c r="I50" s="219" t="str">
        <f ca="1">IF(ISERROR($V50),"",OFFSET('Smelter Look-up'!$H$4,$V50-4,0))</f>
        <v>Warwick</v>
      </c>
      <c r="J50" s="219" t="str">
        <f ca="1">IF(ISERROR($V50),"",OFFSET('Smelter Look-up'!$I$4,$V50-4,0))</f>
        <v>Rhode Island</v>
      </c>
      <c r="K50" s="273"/>
      <c r="L50" s="273"/>
      <c r="M50" s="273"/>
      <c r="N50" s="273"/>
      <c r="O50" s="273"/>
      <c r="P50" s="220"/>
      <c r="Q50" s="274"/>
      <c r="R50" s="217" t="str">
        <f ca="1">IF(ISERROR($V50),"",OFFSET('Smelter Look-up'!$C$4,$V50-4,0)&amp;"")</f>
        <v>Advanced Chemical Company</v>
      </c>
      <c r="S50" s="225" t="str">
        <f t="shared" ca="1" si="6"/>
        <v>US</v>
      </c>
      <c r="T50" s="225" t="str">
        <f ca="1">IF(B50="","",IF(ISERROR(MATCH($J50,SorP!$B$1:$B$6230,0)),"",INDIRECT("'SorP'!$A$"&amp;MATCH($J50,SorP!$B$1:$B$6230,0))))</f>
        <v>US-RI</v>
      </c>
      <c r="U50" s="241"/>
      <c r="V50" s="275">
        <f ca="1">IF(C50="",NA(),MATCH($B50&amp;$C50,'Smelter Look-up'!$J:$J,0))</f>
        <v>7</v>
      </c>
      <c r="W50" s="276"/>
      <c r="X50" s="276">
        <f t="shared" ca="1" si="7"/>
        <v>0</v>
      </c>
      <c r="Y50" s="276"/>
      <c r="Z50" s="276"/>
      <c r="AB50" s="278" t="str">
        <f t="shared" ca="1" si="8"/>
        <v>GoldAdvanced Chemical Company</v>
      </c>
    </row>
    <row r="51" spans="1:28" s="277" customFormat="1" ht="63.75">
      <c r="A51" s="216" t="s">
        <v>1738</v>
      </c>
      <c r="B51" s="217" t="str">
        <f ca="1">IF(LEN(A51)=0,"",INDEX('Smelter Look-up'!$A:$A,MATCH($A51,'Smelter Look-up'!$E:$E,0)))</f>
        <v>Gold</v>
      </c>
      <c r="C51" s="221" t="str">
        <f ca="1">IF(LEN(A51)=0,"",INDEX('Smelter Look-up'!$C:$C,MATCH($A51,'Smelter Look-up'!$E:$E,0)))</f>
        <v>Al Etihad Gold Refinery DMCC</v>
      </c>
      <c r="D51" s="283"/>
      <c r="E51" s="217" t="str">
        <f ca="1">IF(ISERROR($V51),"",OFFSET('Smelter Look-up'!$D$4,$V51-4,0)&amp;"")</f>
        <v>UNITED ARAB EMIRATES</v>
      </c>
      <c r="F51" s="217" t="str">
        <f ca="1">IF(ISERROR($V51),"",OFFSET('Smelter Look-up'!$E$4,$V51-4,0))</f>
        <v>CID002560</v>
      </c>
      <c r="G51" s="217" t="str">
        <f ca="1">IF(C51=$X$4,"Enter smelter details",IF(ISERROR($V51),"",OFFSET('Smelter Look-up'!$F$4,$V51-4,0)))</f>
        <v>RMI</v>
      </c>
      <c r="H51" s="218">
        <f ca="1">IF(ISERROR($V51),"",OFFSET('Smelter Look-up'!$G$4,$V51-4,0))</f>
        <v>0</v>
      </c>
      <c r="I51" s="219" t="str">
        <f ca="1">IF(ISERROR($V51),"",OFFSET('Smelter Look-up'!$H$4,$V51-4,0))</f>
        <v>Dubai</v>
      </c>
      <c r="J51" s="219" t="str">
        <f ca="1">IF(ISERROR($V51),"",OFFSET('Smelter Look-up'!$I$4,$V51-4,0))</f>
        <v>Dubayy</v>
      </c>
      <c r="K51" s="273"/>
      <c r="L51" s="273"/>
      <c r="M51" s="273"/>
      <c r="N51" s="273"/>
      <c r="O51" s="273"/>
      <c r="P51" s="220"/>
      <c r="Q51" s="274"/>
      <c r="R51" s="217" t="str">
        <f ca="1">IF(ISERROR($V51),"",OFFSET('Smelter Look-up'!$C$4,$V51-4,0)&amp;"")</f>
        <v>Al Etihad Gold Refinery DMCC</v>
      </c>
      <c r="S51" s="225" t="str">
        <f t="shared" ca="1" si="6"/>
        <v>AE</v>
      </c>
      <c r="T51" s="225" t="str">
        <f ca="1">IF(B51="","",IF(ISERROR(MATCH($J51,SorP!$B$1:$B$6230,0)),"",INDIRECT("'SorP'!$A$"&amp;MATCH($J51,SorP!$B$1:$B$6230,0))))</f>
        <v>AE-DU</v>
      </c>
      <c r="U51" s="241"/>
      <c r="V51" s="275">
        <f ca="1">IF(C51="",NA(),MATCH($B51&amp;$C51,'Smelter Look-up'!$J:$J,0))</f>
        <v>13</v>
      </c>
      <c r="W51" s="276"/>
      <c r="X51" s="276">
        <f t="shared" ca="1" si="7"/>
        <v>0</v>
      </c>
      <c r="Y51" s="276"/>
      <c r="Z51" s="276"/>
      <c r="AB51" s="278" t="str">
        <f t="shared" ca="1" si="8"/>
        <v>GoldAl Etihad Gold Refinery DMCC</v>
      </c>
    </row>
    <row r="52" spans="1:28" s="277" customFormat="1" ht="102">
      <c r="A52" s="216" t="s">
        <v>668</v>
      </c>
      <c r="B52" s="217" t="str">
        <f ca="1">IF(LEN(A52)=0,"",INDEX('Smelter Look-up'!$A:$A,MATCH($A52,'Smelter Look-up'!$E:$E,0)))</f>
        <v>Gold</v>
      </c>
      <c r="C52" s="221" t="str">
        <f ca="1">IF(LEN(A52)=0,"",INDEX('Smelter Look-up'!$C:$C,MATCH($A52,'Smelter Look-up'!$E:$E,0)))</f>
        <v>Almalyk Mining and Metallurgical Complex (AMMC)</v>
      </c>
      <c r="D52" s="283"/>
      <c r="E52" s="217" t="str">
        <f ca="1">IF(ISERROR($V52),"",OFFSET('Smelter Look-up'!$D$4,$V52-4,0)&amp;"")</f>
        <v>UZBEKISTAN</v>
      </c>
      <c r="F52" s="217" t="str">
        <f ca="1">IF(ISERROR($V52),"",OFFSET('Smelter Look-up'!$E$4,$V52-4,0))</f>
        <v>CID000041</v>
      </c>
      <c r="G52" s="217" t="str">
        <f ca="1">IF(C52=$X$4,"Enter smelter details",IF(ISERROR($V52),"",OFFSET('Smelter Look-up'!$F$4,$V52-4,0)))</f>
        <v>RMI</v>
      </c>
      <c r="H52" s="218">
        <f ca="1">IF(ISERROR($V52),"",OFFSET('Smelter Look-up'!$G$4,$V52-4,0))</f>
        <v>0</v>
      </c>
      <c r="I52" s="219" t="str">
        <f ca="1">IF(ISERROR($V52),"",OFFSET('Smelter Look-up'!$H$4,$V52-4,0))</f>
        <v>Almalyk</v>
      </c>
      <c r="J52" s="219" t="str">
        <f ca="1">IF(ISERROR($V52),"",OFFSET('Smelter Look-up'!$I$4,$V52-4,0))</f>
        <v>Toshkent</v>
      </c>
      <c r="K52" s="273"/>
      <c r="L52" s="273"/>
      <c r="M52" s="273"/>
      <c r="N52" s="273"/>
      <c r="O52" s="273"/>
      <c r="P52" s="220"/>
      <c r="Q52" s="274"/>
      <c r="R52" s="217" t="str">
        <f ca="1">IF(ISERROR($V52),"",OFFSET('Smelter Look-up'!$C$4,$V52-4,0)&amp;"")</f>
        <v>Almalyk Mining and Metallurgical Complex (AMMC)</v>
      </c>
      <c r="S52" s="225" t="str">
        <f t="shared" ca="1" si="6"/>
        <v>UZ</v>
      </c>
      <c r="T52" s="225" t="str">
        <f ca="1">IF(B52="","",IF(ISERROR(MATCH($J52,SorP!$B$1:$B$6230,0)),"",INDIRECT("'SorP'!$A$"&amp;MATCH($J52,SorP!$B$1:$B$6230,0))))</f>
        <v>UZ-TK</v>
      </c>
      <c r="U52" s="241"/>
      <c r="V52" s="275">
        <f ca="1">IF(C52="",NA(),MATCH($B52&amp;$C52,'Smelter Look-up'!$J:$J,0))</f>
        <v>15</v>
      </c>
      <c r="W52" s="276"/>
      <c r="X52" s="276">
        <f t="shared" ca="1" si="7"/>
        <v>0</v>
      </c>
      <c r="Y52" s="276"/>
      <c r="Z52" s="276"/>
      <c r="AB52" s="278" t="str">
        <f t="shared" ca="1" si="8"/>
        <v>GoldAlmalyk Mining and Metallurgical Complex (AMMC)</v>
      </c>
    </row>
    <row r="53" spans="1:28" s="277" customFormat="1" ht="51">
      <c r="A53" s="216" t="s">
        <v>2413</v>
      </c>
      <c r="B53" s="217" t="str">
        <f ca="1">IF(LEN(A53)=0,"",INDEX('Smelter Look-up'!$A:$A,MATCH($A53,'Smelter Look-up'!$E:$E,0)))</f>
        <v>Gold</v>
      </c>
      <c r="C53" s="221" t="str">
        <f ca="1">IF(LEN(A53)=0,"",INDEX('Smelter Look-up'!$C:$C,MATCH($A53,'Smelter Look-up'!$E:$E,0)))</f>
        <v>AU Traders and Refiners</v>
      </c>
      <c r="D53" s="283"/>
      <c r="E53" s="217" t="str">
        <f ca="1">IF(ISERROR($V53),"",OFFSET('Smelter Look-up'!$D$4,$V53-4,0)&amp;"")</f>
        <v>SOUTH AFRICA</v>
      </c>
      <c r="F53" s="217" t="str">
        <f ca="1">IF(ISERROR($V53),"",OFFSET('Smelter Look-up'!$E$4,$V53-4,0))</f>
        <v>CID002850</v>
      </c>
      <c r="G53" s="217" t="str">
        <f ca="1">IF(C53=$X$4,"Enter smelter details",IF(ISERROR($V53),"",OFFSET('Smelter Look-up'!$F$4,$V53-4,0)))</f>
        <v>RMI</v>
      </c>
      <c r="H53" s="218">
        <f ca="1">IF(ISERROR($V53),"",OFFSET('Smelter Look-up'!$G$4,$V53-4,0))</f>
        <v>0</v>
      </c>
      <c r="I53" s="219" t="str">
        <f ca="1">IF(ISERROR($V53),"",OFFSET('Smelter Look-up'!$H$4,$V53-4,0))</f>
        <v>Johannesburg</v>
      </c>
      <c r="J53" s="219" t="str">
        <f ca="1">IF(ISERROR($V53),"",OFFSET('Smelter Look-up'!$I$4,$V53-4,0))</f>
        <v>Gauteng</v>
      </c>
      <c r="K53" s="273"/>
      <c r="L53" s="273"/>
      <c r="M53" s="273"/>
      <c r="N53" s="273"/>
      <c r="O53" s="273"/>
      <c r="P53" s="220"/>
      <c r="Q53" s="274"/>
      <c r="R53" s="217" t="str">
        <f ca="1">IF(ISERROR($V53),"",OFFSET('Smelter Look-up'!$C$4,$V53-4,0)&amp;"")</f>
        <v>AU Traders and Refiners</v>
      </c>
      <c r="S53" s="225" t="str">
        <f t="shared" ca="1" si="6"/>
        <v>ZA</v>
      </c>
      <c r="T53" s="225" t="str">
        <f ca="1">IF(B53="","",IF(ISERROR(MATCH($J53,SorP!$B$1:$B$6230,0)),"",INDIRECT("'SorP'!$A$"&amp;MATCH($J53,SorP!$B$1:$B$6230,0))))</f>
        <v>ZA-GT</v>
      </c>
      <c r="U53" s="241"/>
      <c r="V53" s="275">
        <f ca="1">IF(C53="",NA(),MATCH($B53&amp;$C53,'Smelter Look-up'!$J:$J,0))</f>
        <v>30</v>
      </c>
      <c r="W53" s="276"/>
      <c r="X53" s="276">
        <f t="shared" ca="1" si="7"/>
        <v>0</v>
      </c>
      <c r="Y53" s="276"/>
      <c r="Z53" s="276"/>
      <c r="AB53" s="278" t="str">
        <f t="shared" ca="1" si="8"/>
        <v>GoldAU Traders and Refiners</v>
      </c>
    </row>
    <row r="54" spans="1:28" s="277" customFormat="1" ht="51">
      <c r="A54" s="216" t="s">
        <v>681</v>
      </c>
      <c r="B54" s="217" t="str">
        <f ca="1">IF(LEN(A54)=0,"",INDEX('Smelter Look-up'!$A:$A,MATCH($A54,'Smelter Look-up'!$E:$E,0)))</f>
        <v>Gold</v>
      </c>
      <c r="C54" s="221" t="str">
        <f ca="1">IF(LEN(A54)=0,"",INDEX('Smelter Look-up'!$C:$C,MATCH($A54,'Smelter Look-up'!$E:$E,0)))</f>
        <v>Cendres + Metaux S.A.</v>
      </c>
      <c r="D54" s="283"/>
      <c r="E54" s="217" t="str">
        <f ca="1">IF(ISERROR($V54),"",OFFSET('Smelter Look-up'!$D$4,$V54-4,0)&amp;"")</f>
        <v>SWITZERLAND</v>
      </c>
      <c r="F54" s="217" t="str">
        <f ca="1">IF(ISERROR($V54),"",OFFSET('Smelter Look-up'!$E$4,$V54-4,0))</f>
        <v>CID000189</v>
      </c>
      <c r="G54" s="217" t="str">
        <f ca="1">IF(C54=$X$4,"Enter smelter details",IF(ISERROR($V54),"",OFFSET('Smelter Look-up'!$F$4,$V54-4,0)))</f>
        <v>RMI</v>
      </c>
      <c r="H54" s="218">
        <f ca="1">IF(ISERROR($V54),"",OFFSET('Smelter Look-up'!$G$4,$V54-4,0))</f>
        <v>0</v>
      </c>
      <c r="I54" s="219" t="str">
        <f ca="1">IF(ISERROR($V54),"",OFFSET('Smelter Look-up'!$H$4,$V54-4,0))</f>
        <v>Biel-Bienne</v>
      </c>
      <c r="J54" s="219" t="str">
        <f ca="1">IF(ISERROR($V54),"",OFFSET('Smelter Look-up'!$I$4,$V54-4,0))</f>
        <v>Bern</v>
      </c>
      <c r="K54" s="273"/>
      <c r="L54" s="273"/>
      <c r="M54" s="273"/>
      <c r="N54" s="273"/>
      <c r="O54" s="273"/>
      <c r="P54" s="220"/>
      <c r="Q54" s="274"/>
      <c r="R54" s="217" t="str">
        <f ca="1">IF(ISERROR($V54),"",OFFSET('Smelter Look-up'!$C$4,$V54-4,0)&amp;"")</f>
        <v>Cendres + Metaux S.A.</v>
      </c>
      <c r="S54" s="225" t="str">
        <f t="shared" ca="1" si="6"/>
        <v>CH</v>
      </c>
      <c r="T54" s="225" t="str">
        <f ca="1">IF(B54="","",IF(ISERROR(MATCH($J54,SorP!$B$1:$B$6230,0)),"",INDIRECT("'SorP'!$A$"&amp;MATCH($J54,SorP!$B$1:$B$6230,0))))</f>
        <v>CH-BE</v>
      </c>
      <c r="U54" s="241"/>
      <c r="V54" s="275">
        <f ca="1">IF(C54="",NA(),MATCH($B54&amp;$C54,'Smelter Look-up'!$J:$J,0))</f>
        <v>46</v>
      </c>
      <c r="W54" s="276"/>
      <c r="X54" s="276">
        <f t="shared" ca="1" si="7"/>
        <v>0</v>
      </c>
      <c r="Y54" s="276"/>
      <c r="Z54" s="276"/>
      <c r="AB54" s="278" t="str">
        <f t="shared" ca="1" si="8"/>
        <v>GoldCendres + Metaux S.A.</v>
      </c>
    </row>
    <row r="55" spans="1:28" s="277" customFormat="1" ht="38.25">
      <c r="A55" s="216" t="s">
        <v>683</v>
      </c>
      <c r="B55" s="217" t="str">
        <f ca="1">IF(LEN(A55)=0,"",INDEX('Smelter Look-up'!$A:$A,MATCH($A55,'Smelter Look-up'!$E:$E,0)))</f>
        <v>Gold</v>
      </c>
      <c r="C55" s="221" t="str">
        <f ca="1">IF(LEN(A55)=0,"",INDEX('Smelter Look-up'!$C:$C,MATCH($A55,'Smelter Look-up'!$E:$E,0)))</f>
        <v>Chugai Mining</v>
      </c>
      <c r="D55" s="283"/>
      <c r="E55" s="217" t="str">
        <f ca="1">IF(ISERROR($V55),"",OFFSET('Smelter Look-up'!$D$4,$V55-4,0)&amp;"")</f>
        <v>JAPAN</v>
      </c>
      <c r="F55" s="217" t="str">
        <f ca="1">IF(ISERROR($V55),"",OFFSET('Smelter Look-up'!$E$4,$V55-4,0))</f>
        <v>CID000264</v>
      </c>
      <c r="G55" s="217" t="str">
        <f ca="1">IF(C55=$X$4,"Enter smelter details",IF(ISERROR($V55),"",OFFSET('Smelter Look-up'!$F$4,$V55-4,0)))</f>
        <v>RMI</v>
      </c>
      <c r="H55" s="218">
        <f ca="1">IF(ISERROR($V55),"",OFFSET('Smelter Look-up'!$G$4,$V55-4,0))</f>
        <v>0</v>
      </c>
      <c r="I55" s="219" t="str">
        <f ca="1">IF(ISERROR($V55),"",OFFSET('Smelter Look-up'!$H$4,$V55-4,0))</f>
        <v>Chiyoda</v>
      </c>
      <c r="J55" s="219" t="str">
        <f ca="1">IF(ISERROR($V55),"",OFFSET('Smelter Look-up'!$I$4,$V55-4,0))</f>
        <v>Tokyo</v>
      </c>
      <c r="K55" s="273"/>
      <c r="L55" s="273"/>
      <c r="M55" s="273"/>
      <c r="N55" s="273"/>
      <c r="O55" s="273"/>
      <c r="P55" s="220"/>
      <c r="Q55" s="274"/>
      <c r="R55" s="217" t="str">
        <f ca="1">IF(ISERROR($V55),"",OFFSET('Smelter Look-up'!$C$4,$V55-4,0)&amp;"")</f>
        <v>Chugai Mining</v>
      </c>
      <c r="S55" s="225" t="str">
        <f t="shared" ca="1" si="6"/>
        <v>JP</v>
      </c>
      <c r="T55" s="225" t="str">
        <f ca="1">IF(B55="","",IF(ISERROR(MATCH($J55,SorP!$B$1:$B$6230,0)),"",INDIRECT("'SorP'!$A$"&amp;MATCH($J55,SorP!$B$1:$B$6230,0))))</f>
        <v>JP-13</v>
      </c>
      <c r="U55" s="241"/>
      <c r="V55" s="275">
        <f ca="1">IF(C55="",NA(),MATCH($B55&amp;$C55,'Smelter Look-up'!$J:$J,0))</f>
        <v>54</v>
      </c>
      <c r="W55" s="276"/>
      <c r="X55" s="276">
        <f t="shared" ca="1" si="7"/>
        <v>0</v>
      </c>
      <c r="Y55" s="276"/>
      <c r="Z55" s="276"/>
      <c r="AB55" s="278" t="str">
        <f t="shared" ca="1" si="8"/>
        <v>GoldChugai Mining</v>
      </c>
    </row>
    <row r="56" spans="1:28" s="277" customFormat="1" ht="51">
      <c r="A56" s="216" t="s">
        <v>15516</v>
      </c>
      <c r="B56" s="217" t="s">
        <v>1153</v>
      </c>
      <c r="C56" s="348" t="s">
        <v>15580</v>
      </c>
      <c r="D56" s="283"/>
      <c r="E56" s="217" t="s">
        <v>1134</v>
      </c>
      <c r="F56" s="217" t="s">
        <v>15516</v>
      </c>
      <c r="G56" s="217" t="s">
        <v>13577</v>
      </c>
      <c r="H56" s="218" t="str">
        <f ca="1">IF(ISERROR($V56),"",OFFSET('Smelter Look-up'!$G$4,$V56-4,0))</f>
        <v/>
      </c>
      <c r="I56" s="350" t="s">
        <v>15581</v>
      </c>
      <c r="J56" s="350" t="s">
        <v>13197</v>
      </c>
      <c r="K56" s="273"/>
      <c r="L56" s="273"/>
      <c r="M56" s="273"/>
      <c r="N56" s="273"/>
      <c r="O56" s="273"/>
      <c r="P56" s="220"/>
      <c r="Q56" s="274"/>
      <c r="R56" s="217" t="str">
        <f ca="1">IF(ISERROR($V56),"",OFFSET('Smelter Look-up'!$C$4,$V56-4,0)&amp;"")</f>
        <v/>
      </c>
      <c r="S56" s="225" t="str">
        <f t="shared" ca="1" si="6"/>
        <v>KR</v>
      </c>
      <c r="T56" s="225" t="str">
        <f ca="1">IF(B56="","",IF(ISERROR(MATCH($J56,SorP!$B$1:$B$6230,0)),"",INDIRECT("'SorP'!$A$"&amp;MATCH($J56,SorP!$B$1:$B$6230,0))))</f>
        <v>KR-28</v>
      </c>
      <c r="U56" s="241"/>
      <c r="V56" s="275" t="e">
        <f>IF(C56="",NA(),MATCH($B56&amp;$C56,'Smelter Look-up'!$J:$J,0))</f>
        <v>#N/A</v>
      </c>
      <c r="W56" s="276"/>
      <c r="X56" s="276">
        <f t="shared" si="7"/>
        <v>0</v>
      </c>
      <c r="Y56" s="276"/>
      <c r="Z56" s="276"/>
      <c r="AB56" s="278" t="str">
        <f t="shared" si="8"/>
        <v>GoldDaejin Indus Co., Ltd.</v>
      </c>
    </row>
    <row r="57" spans="1:28" s="277" customFormat="1" ht="76.5">
      <c r="A57" s="216" t="s">
        <v>685</v>
      </c>
      <c r="B57" s="217" t="str">
        <f ca="1">IF(LEN(A57)=0,"",INDEX('Smelter Look-up'!$A:$A,MATCH($A57,'Smelter Look-up'!$E:$E,0)))</f>
        <v>Gold</v>
      </c>
      <c r="C57" s="221" t="str">
        <f ca="1">IF(LEN(A57)=0,"",INDEX('Smelter Look-up'!$C:$C,MATCH($A57,'Smelter Look-up'!$E:$E,0)))</f>
        <v>Daye Non-Ferrous Metals Mining Ltd.</v>
      </c>
      <c r="D57" s="283"/>
      <c r="E57" s="217" t="str">
        <f ca="1">IF(ISERROR($V57),"",OFFSET('Smelter Look-up'!$D$4,$V57-4,0)&amp;"")</f>
        <v>CHINA</v>
      </c>
      <c r="F57" s="217" t="str">
        <f ca="1">IF(ISERROR($V57),"",OFFSET('Smelter Look-up'!$E$4,$V57-4,0))</f>
        <v>CID000343</v>
      </c>
      <c r="G57" s="217" t="str">
        <f ca="1">IF(C57=$X$4,"Enter smelter details",IF(ISERROR($V57),"",OFFSET('Smelter Look-up'!$F$4,$V57-4,0)))</f>
        <v>RMI</v>
      </c>
      <c r="H57" s="218">
        <f ca="1">IF(ISERROR($V57),"",OFFSET('Smelter Look-up'!$G$4,$V57-4,0))</f>
        <v>0</v>
      </c>
      <c r="I57" s="219" t="str">
        <f ca="1">IF(ISERROR($V57),"",OFFSET('Smelter Look-up'!$H$4,$V57-4,0))</f>
        <v>Huangshi</v>
      </c>
      <c r="J57" s="219" t="str">
        <f ca="1">IF(ISERROR($V57),"",OFFSET('Smelter Look-up'!$I$4,$V57-4,0))</f>
        <v>Hubei Sheng</v>
      </c>
      <c r="K57" s="273"/>
      <c r="L57" s="273"/>
      <c r="M57" s="273"/>
      <c r="N57" s="273"/>
      <c r="O57" s="273"/>
      <c r="P57" s="220"/>
      <c r="Q57" s="274"/>
      <c r="R57" s="217" t="str">
        <f ca="1">IF(ISERROR($V57),"",OFFSET('Smelter Look-up'!$C$4,$V57-4,0)&amp;"")</f>
        <v>Daye Non-Ferrous Metals Mining Ltd.</v>
      </c>
      <c r="S57" s="225" t="str">
        <f t="shared" ca="1" si="6"/>
        <v>CN</v>
      </c>
      <c r="T57" s="225" t="str">
        <f ca="1">IF(B57="","",IF(ISERROR(MATCH($J57,SorP!$B$1:$B$6230,0)),"",INDIRECT("'SorP'!$A$"&amp;MATCH($J57,SorP!$B$1:$B$6230,0))))</f>
        <v>CN-HB</v>
      </c>
      <c r="U57" s="241"/>
      <c r="V57" s="275">
        <f ca="1">IF(C57="",NA(),MATCH($B57&amp;$C57,'Smelter Look-up'!$J:$J,0))</f>
        <v>55</v>
      </c>
      <c r="W57" s="276"/>
      <c r="X57" s="276">
        <f t="shared" ca="1" si="7"/>
        <v>0</v>
      </c>
      <c r="Y57" s="276"/>
      <c r="Z57" s="276"/>
      <c r="AB57" s="278" t="str">
        <f t="shared" ca="1" si="8"/>
        <v>GoldDaye Non-Ferrous Metals Mining Ltd.</v>
      </c>
    </row>
    <row r="58" spans="1:28" s="277" customFormat="1" ht="76.5">
      <c r="A58" s="216" t="s">
        <v>688</v>
      </c>
      <c r="B58" s="217" t="str">
        <f ca="1">IF(LEN(A58)=0,"",INDEX('Smelter Look-up'!$A:$A,MATCH($A58,'Smelter Look-up'!$E:$E,0)))</f>
        <v>Gold</v>
      </c>
      <c r="C58" s="221" t="str">
        <f ca="1">IF(LEN(A58)=0,"",INDEX('Smelter Look-up'!$C:$C,MATCH($A58,'Smelter Look-up'!$E:$E,0)))</f>
        <v>DODUCO Contacts and Refining GmbH</v>
      </c>
      <c r="D58" s="283"/>
      <c r="E58" s="217" t="str">
        <f ca="1">IF(ISERROR($V58),"",OFFSET('Smelter Look-up'!$D$4,$V58-4,0)&amp;"")</f>
        <v>GERMANY</v>
      </c>
      <c r="F58" s="217" t="str">
        <f ca="1">IF(ISERROR($V58),"",OFFSET('Smelter Look-up'!$E$4,$V58-4,0))</f>
        <v>CID000362</v>
      </c>
      <c r="G58" s="217" t="str">
        <f ca="1">IF(C58=$X$4,"Enter smelter details",IF(ISERROR($V58),"",OFFSET('Smelter Look-up'!$F$4,$V58-4,0)))</f>
        <v>RMI</v>
      </c>
      <c r="H58" s="218">
        <f ca="1">IF(ISERROR($V58),"",OFFSET('Smelter Look-up'!$G$4,$V58-4,0))</f>
        <v>0</v>
      </c>
      <c r="I58" s="219" t="str">
        <f ca="1">IF(ISERROR($V58),"",OFFSET('Smelter Look-up'!$H$4,$V58-4,0))</f>
        <v>Pforzheim</v>
      </c>
      <c r="J58" s="219" t="str">
        <f ca="1">IF(ISERROR($V58),"",OFFSET('Smelter Look-up'!$I$4,$V58-4,0))</f>
        <v>Baden-Württemberg</v>
      </c>
      <c r="K58" s="273"/>
      <c r="L58" s="273"/>
      <c r="M58" s="273"/>
      <c r="N58" s="273"/>
      <c r="O58" s="273"/>
      <c r="P58" s="220"/>
      <c r="Q58" s="274"/>
      <c r="R58" s="217" t="str">
        <f ca="1">IF(ISERROR($V58),"",OFFSET('Smelter Look-up'!$C$4,$V58-4,0)&amp;"")</f>
        <v>DODUCO Contacts and Refining GmbH</v>
      </c>
      <c r="S58" s="225" t="str">
        <f t="shared" ca="1" si="6"/>
        <v>DE</v>
      </c>
      <c r="T58" s="225" t="str">
        <f ca="1">IF(B58="","",IF(ISERROR(MATCH($J58,SorP!$B$1:$B$6230,0)),"",INDIRECT("'SorP'!$A$"&amp;MATCH($J58,SorP!$B$1:$B$6230,0))))</f>
        <v>DE-BW</v>
      </c>
      <c r="U58" s="241"/>
      <c r="V58" s="275">
        <f ca="1">IF(C58="",NA(),MATCH($B58&amp;$C58,'Smelter Look-up'!$J:$J,0))</f>
        <v>61</v>
      </c>
      <c r="W58" s="276"/>
      <c r="X58" s="276">
        <f t="shared" ca="1" si="7"/>
        <v>0</v>
      </c>
      <c r="Y58" s="276"/>
      <c r="Z58" s="276"/>
      <c r="AB58" s="278" t="str">
        <f t="shared" ca="1" si="8"/>
        <v>GoldDODUCO Contacts and Refining GmbH</v>
      </c>
    </row>
    <row r="59" spans="1:28" s="277" customFormat="1" ht="63.75">
      <c r="A59" s="216" t="s">
        <v>686</v>
      </c>
      <c r="B59" s="217" t="str">
        <f ca="1">IF(LEN(A59)=0,"",INDEX('Smelter Look-up'!$A:$A,MATCH($A59,'Smelter Look-up'!$E:$E,0)))</f>
        <v>Gold</v>
      </c>
      <c r="C59" s="221" t="str">
        <f ca="1">IF(LEN(A59)=0,"",INDEX('Smelter Look-up'!$C:$C,MATCH($A59,'Smelter Look-up'!$E:$E,0)))</f>
        <v>DSC (Do Sung Corporation)</v>
      </c>
      <c r="D59" s="283"/>
      <c r="E59" s="217" t="str">
        <f ca="1">IF(ISERROR($V59),"",OFFSET('Smelter Look-up'!$D$4,$V59-4,0)&amp;"")</f>
        <v>KOREA, REPUBLIC OF</v>
      </c>
      <c r="F59" s="217" t="str">
        <f ca="1">IF(ISERROR($V59),"",OFFSET('Smelter Look-up'!$E$4,$V59-4,0))</f>
        <v>CID000359</v>
      </c>
      <c r="G59" s="217" t="str">
        <f ca="1">IF(C59=$X$4,"Enter smelter details",IF(ISERROR($V59),"",OFFSET('Smelter Look-up'!$F$4,$V59-4,0)))</f>
        <v>RMI</v>
      </c>
      <c r="H59" s="218">
        <f ca="1">IF(ISERROR($V59),"",OFFSET('Smelter Look-up'!$G$4,$V59-4,0))</f>
        <v>0</v>
      </c>
      <c r="I59" s="219" t="str">
        <f ca="1">IF(ISERROR($V59),"",OFFSET('Smelter Look-up'!$H$4,$V59-4,0))</f>
        <v>Gimpo</v>
      </c>
      <c r="J59" s="219" t="str">
        <f ca="1">IF(ISERROR($V59),"",OFFSET('Smelter Look-up'!$I$4,$V59-4,0))</f>
        <v>Gyeonggi-do</v>
      </c>
      <c r="K59" s="273"/>
      <c r="L59" s="273"/>
      <c r="M59" s="273"/>
      <c r="N59" s="273"/>
      <c r="O59" s="273"/>
      <c r="P59" s="220"/>
      <c r="Q59" s="274"/>
      <c r="R59" s="217" t="str">
        <f ca="1">IF(ISERROR($V59),"",OFFSET('Smelter Look-up'!$C$4,$V59-4,0)&amp;"")</f>
        <v>DSC (Do Sung Corporation)</v>
      </c>
      <c r="S59" s="225" t="str">
        <f t="shared" ca="1" si="6"/>
        <v>KR</v>
      </c>
      <c r="T59" s="225" t="str">
        <f ca="1">IF(B59="","",IF(ISERROR(MATCH($J59,SorP!$B$1:$B$6230,0)),"",INDIRECT("'SorP'!$A$"&amp;MATCH($J59,SorP!$B$1:$B$6230,0))))</f>
        <v>KR-41</v>
      </c>
      <c r="U59" s="241"/>
      <c r="V59" s="275">
        <f ca="1">IF(C59="",NA(),MATCH($B59&amp;$C59,'Smelter Look-up'!$J:$J,0))</f>
        <v>68</v>
      </c>
      <c r="W59" s="276"/>
      <c r="X59" s="276">
        <f t="shared" ca="1" si="7"/>
        <v>0</v>
      </c>
      <c r="Y59" s="276"/>
      <c r="Z59" s="276"/>
      <c r="AB59" s="278" t="str">
        <f t="shared" ca="1" si="8"/>
        <v>GoldDSC (Do Sung Corporation)</v>
      </c>
    </row>
    <row r="60" spans="1:28" s="277" customFormat="1" ht="51">
      <c r="A60" s="216" t="s">
        <v>1741</v>
      </c>
      <c r="B60" s="217" t="str">
        <f ca="1">IF(LEN(A60)=0,"",INDEX('Smelter Look-up'!$A:$A,MATCH($A60,'Smelter Look-up'!$E:$E,0)))</f>
        <v>Gold</v>
      </c>
      <c r="C60" s="221" t="str">
        <f ca="1">IF(LEN(A60)=0,"",INDEX('Smelter Look-up'!$C:$C,MATCH($A60,'Smelter Look-up'!$E:$E,0)))</f>
        <v>Emirates Gold DMCC</v>
      </c>
      <c r="D60" s="283"/>
      <c r="E60" s="217" t="str">
        <f ca="1">IF(ISERROR($V60),"",OFFSET('Smelter Look-up'!$D$4,$V60-4,0)&amp;"")</f>
        <v>UNITED ARAB EMIRATES</v>
      </c>
      <c r="F60" s="217" t="str">
        <f ca="1">IF(ISERROR($V60),"",OFFSET('Smelter Look-up'!$E$4,$V60-4,0))</f>
        <v>CID002561</v>
      </c>
      <c r="G60" s="217" t="str">
        <f ca="1">IF(C60=$X$4,"Enter smelter details",IF(ISERROR($V60),"",OFFSET('Smelter Look-up'!$F$4,$V60-4,0)))</f>
        <v>RMI</v>
      </c>
      <c r="H60" s="218">
        <f ca="1">IF(ISERROR($V60),"",OFFSET('Smelter Look-up'!$G$4,$V60-4,0))</f>
        <v>0</v>
      </c>
      <c r="I60" s="219" t="str">
        <f ca="1">IF(ISERROR($V60),"",OFFSET('Smelter Look-up'!$H$4,$V60-4,0))</f>
        <v>Dubai</v>
      </c>
      <c r="J60" s="219" t="str">
        <f ca="1">IF(ISERROR($V60),"",OFFSET('Smelter Look-up'!$I$4,$V60-4,0))</f>
        <v>Dubayy</v>
      </c>
      <c r="K60" s="273"/>
      <c r="L60" s="273"/>
      <c r="M60" s="273"/>
      <c r="N60" s="273"/>
      <c r="O60" s="273"/>
      <c r="P60" s="220"/>
      <c r="Q60" s="274"/>
      <c r="R60" s="217" t="str">
        <f ca="1">IF(ISERROR($V60),"",OFFSET('Smelter Look-up'!$C$4,$V60-4,0)&amp;"")</f>
        <v>Emirates Gold DMCC</v>
      </c>
      <c r="S60" s="225" t="str">
        <f t="shared" ca="1" si="6"/>
        <v>AE</v>
      </c>
      <c r="T60" s="225" t="str">
        <f ca="1">IF(B60="","",IF(ISERROR(MATCH($J60,SorP!$B$1:$B$6230,0)),"",INDIRECT("'SorP'!$A$"&amp;MATCH($J60,SorP!$B$1:$B$6230,0))))</f>
        <v>AE-DU</v>
      </c>
      <c r="U60" s="241"/>
      <c r="V60" s="275">
        <f ca="1">IF(C60="",NA(),MATCH($B60&amp;$C60,'Smelter Look-up'!$J:$J,0))</f>
        <v>73</v>
      </c>
      <c r="W60" s="276"/>
      <c r="X60" s="276">
        <f t="shared" ca="1" si="7"/>
        <v>0</v>
      </c>
      <c r="Y60" s="276"/>
      <c r="Z60" s="276"/>
      <c r="AB60" s="278" t="str">
        <f t="shared" ca="1" si="8"/>
        <v>GoldEmirates Gold DMCC</v>
      </c>
    </row>
    <row r="61" spans="1:28" s="277" customFormat="1" ht="51">
      <c r="A61" s="216" t="s">
        <v>1728</v>
      </c>
      <c r="B61" s="217" t="str">
        <f ca="1">IF(LEN(A61)=0,"",INDEX('Smelter Look-up'!$A:$A,MATCH($A61,'Smelter Look-up'!$E:$E,0)))</f>
        <v>Gold</v>
      </c>
      <c r="C61" s="221" t="str">
        <f ca="1">IF(LEN(A61)=0,"",INDEX('Smelter Look-up'!$C:$C,MATCH($A61,'Smelter Look-up'!$E:$E,0)))</f>
        <v>Geib Refining Corporation</v>
      </c>
      <c r="D61" s="283"/>
      <c r="E61" s="217" t="str">
        <f ca="1">IF(ISERROR($V61),"",OFFSET('Smelter Look-up'!$D$4,$V61-4,0)&amp;"")</f>
        <v>UNITED STATES OF AMERICA</v>
      </c>
      <c r="F61" s="217" t="str">
        <f ca="1">IF(ISERROR($V61),"",OFFSET('Smelter Look-up'!$E$4,$V61-4,0))</f>
        <v>CID002459</v>
      </c>
      <c r="G61" s="217" t="str">
        <f ca="1">IF(C61=$X$4,"Enter smelter details",IF(ISERROR($V61),"",OFFSET('Smelter Look-up'!$F$4,$V61-4,0)))</f>
        <v>RMI</v>
      </c>
      <c r="H61" s="218">
        <f ca="1">IF(ISERROR($V61),"",OFFSET('Smelter Look-up'!$G$4,$V61-4,0))</f>
        <v>0</v>
      </c>
      <c r="I61" s="219" t="str">
        <f ca="1">IF(ISERROR($V61),"",OFFSET('Smelter Look-up'!$H$4,$V61-4,0))</f>
        <v>Warwick</v>
      </c>
      <c r="J61" s="219" t="str">
        <f ca="1">IF(ISERROR($V61),"",OFFSET('Smelter Look-up'!$I$4,$V61-4,0))</f>
        <v>Rhode Island</v>
      </c>
      <c r="K61" s="273"/>
      <c r="L61" s="273"/>
      <c r="M61" s="273"/>
      <c r="N61" s="273"/>
      <c r="O61" s="273"/>
      <c r="P61" s="220"/>
      <c r="Q61" s="274"/>
      <c r="R61" s="217" t="str">
        <f ca="1">IF(ISERROR($V61),"",OFFSET('Smelter Look-up'!$C$4,$V61-4,0)&amp;"")</f>
        <v>Geib Refining Corporation</v>
      </c>
      <c r="S61" s="225" t="str">
        <f t="shared" ca="1" si="6"/>
        <v>US</v>
      </c>
      <c r="T61" s="225" t="str">
        <f ca="1">IF(B61="","",IF(ISERROR(MATCH($J61,SorP!$B$1:$B$6230,0)),"",INDIRECT("'SorP'!$A$"&amp;MATCH($J61,SorP!$B$1:$B$6230,0))))</f>
        <v>US-RI</v>
      </c>
      <c r="U61" s="241"/>
      <c r="V61" s="275">
        <f ca="1">IF(C61="",NA(),MATCH($B61&amp;$C61,'Smelter Look-up'!$J:$J,0))</f>
        <v>80</v>
      </c>
      <c r="W61" s="276"/>
      <c r="X61" s="276">
        <f t="shared" ca="1" si="7"/>
        <v>0</v>
      </c>
      <c r="Y61" s="276"/>
      <c r="Z61" s="276"/>
      <c r="AB61" s="278" t="str">
        <f t="shared" ca="1" si="8"/>
        <v>GoldGeib Refining Corporation</v>
      </c>
    </row>
    <row r="62" spans="1:28" s="277" customFormat="1" ht="89.25">
      <c r="A62" s="216" t="s">
        <v>749</v>
      </c>
      <c r="B62" s="217" t="str">
        <f ca="1">IF(LEN(A62)=0,"",INDEX('Smelter Look-up'!$A:$A,MATCH($A62,'Smelter Look-up'!$E:$E,0)))</f>
        <v>Gold</v>
      </c>
      <c r="C62" s="221" t="str">
        <f ca="1">IF(LEN(A62)=0,"",INDEX('Smelter Look-up'!$C:$C,MATCH($A62,'Smelter Look-up'!$E:$E,0)))</f>
        <v>Great Wall Precious Metals Co., Ltd. of CBPM</v>
      </c>
      <c r="D62" s="283"/>
      <c r="E62" s="217" t="str">
        <f ca="1">IF(ISERROR($V62),"",OFFSET('Smelter Look-up'!$D$4,$V62-4,0)&amp;"")</f>
        <v>CHINA</v>
      </c>
      <c r="F62" s="217" t="str">
        <f ca="1">IF(ISERROR($V62),"",OFFSET('Smelter Look-up'!$E$4,$V62-4,0))</f>
        <v>CID001909</v>
      </c>
      <c r="G62" s="217" t="str">
        <f ca="1">IF(C62=$X$4,"Enter smelter details",IF(ISERROR($V62),"",OFFSET('Smelter Look-up'!$F$4,$V62-4,0)))</f>
        <v>RMI</v>
      </c>
      <c r="H62" s="218">
        <f ca="1">IF(ISERROR($V62),"",OFFSET('Smelter Look-up'!$G$4,$V62-4,0))</f>
        <v>0</v>
      </c>
      <c r="I62" s="219" t="str">
        <f ca="1">IF(ISERROR($V62),"",OFFSET('Smelter Look-up'!$H$4,$V62-4,0))</f>
        <v>Chengdu</v>
      </c>
      <c r="J62" s="219" t="str">
        <f ca="1">IF(ISERROR($V62),"",OFFSET('Smelter Look-up'!$I$4,$V62-4,0))</f>
        <v>Sichuan Sheng</v>
      </c>
      <c r="K62" s="273"/>
      <c r="L62" s="273"/>
      <c r="M62" s="273"/>
      <c r="N62" s="273"/>
      <c r="O62" s="273"/>
      <c r="P62" s="220"/>
      <c r="Q62" s="274"/>
      <c r="R62" s="217" t="str">
        <f ca="1">IF(ISERROR($V62),"",OFFSET('Smelter Look-up'!$C$4,$V62-4,0)&amp;"")</f>
        <v>Great Wall Precious Metals Co., Ltd. of CBPM</v>
      </c>
      <c r="S62" s="225" t="str">
        <f t="shared" ca="1" si="6"/>
        <v>CN</v>
      </c>
      <c r="T62" s="225" t="str">
        <f ca="1">IF(B62="","",IF(ISERROR(MATCH($J62,SorP!$B$1:$B$6230,0)),"",INDIRECT("'SorP'!$A$"&amp;MATCH($J62,SorP!$B$1:$B$6230,0))))</f>
        <v>CN-SC</v>
      </c>
      <c r="U62" s="241"/>
      <c r="V62" s="275">
        <f ca="1">IF(C62="",NA(),MATCH($B62&amp;$C62,'Smelter Look-up'!$J:$J,0))</f>
        <v>85</v>
      </c>
      <c r="W62" s="276"/>
      <c r="X62" s="276">
        <f t="shared" ca="1" si="7"/>
        <v>0</v>
      </c>
      <c r="Y62" s="276"/>
      <c r="Z62" s="276"/>
      <c r="AB62" s="278" t="str">
        <f t="shared" ca="1" si="8"/>
        <v>GoldGreat Wall Precious Metals Co., Ltd. of CBPM</v>
      </c>
    </row>
    <row r="63" spans="1:28" s="277" customFormat="1" ht="153">
      <c r="A63" s="216" t="s">
        <v>699</v>
      </c>
      <c r="B63" s="217" t="str">
        <f ca="1">IF(LEN(A63)=0,"",INDEX('Smelter Look-up'!$A:$A,MATCH($A63,'Smelter Look-up'!$E:$E,0)))</f>
        <v>Gold</v>
      </c>
      <c r="C63" s="221" t="str">
        <f ca="1">IF(LEN(A63)=0,"",INDEX('Smelter Look-up'!$C:$C,MATCH($A63,'Smelter Look-up'!$E:$E,0)))</f>
        <v>Inner Mongolia Qiankun Gold and Silver Refinery Share Co., Ltd.</v>
      </c>
      <c r="D63" s="283"/>
      <c r="E63" s="217" t="str">
        <f ca="1">IF(ISERROR($V63),"",OFFSET('Smelter Look-up'!$D$4,$V63-4,0)&amp;"")</f>
        <v>CHINA</v>
      </c>
      <c r="F63" s="217" t="str">
        <f ca="1">IF(ISERROR($V63),"",OFFSET('Smelter Look-up'!$E$4,$V63-4,0))</f>
        <v>CID000801</v>
      </c>
      <c r="G63" s="217" t="str">
        <f ca="1">IF(C63=$X$4,"Enter smelter details",IF(ISERROR($V63),"",OFFSET('Smelter Look-up'!$F$4,$V63-4,0)))</f>
        <v>RMI</v>
      </c>
      <c r="H63" s="218">
        <f ca="1">IF(ISERROR($V63),"",OFFSET('Smelter Look-up'!$G$4,$V63-4,0))</f>
        <v>0</v>
      </c>
      <c r="I63" s="219" t="str">
        <f ca="1">IF(ISERROR($V63),"",OFFSET('Smelter Look-up'!$H$4,$V63-4,0))</f>
        <v>Hohhot</v>
      </c>
      <c r="J63" s="219" t="str">
        <f ca="1">IF(ISERROR($V63),"",OFFSET('Smelter Look-up'!$I$4,$V63-4,0))</f>
        <v>Nei Mongol Zizhiqu</v>
      </c>
      <c r="K63" s="273"/>
      <c r="L63" s="273"/>
      <c r="M63" s="273"/>
      <c r="N63" s="273"/>
      <c r="O63" s="273"/>
      <c r="P63" s="220"/>
      <c r="Q63" s="274"/>
      <c r="R63" s="217" t="str">
        <f ca="1">IF(ISERROR($V63),"",OFFSET('Smelter Look-up'!$C$4,$V63-4,0)&amp;"")</f>
        <v>Inner Mongolia Qiankun Gold and Silver Refinery Share Co., Ltd.</v>
      </c>
      <c r="S63" s="225" t="str">
        <f t="shared" ca="1" si="6"/>
        <v>CN</v>
      </c>
      <c r="T63" s="225" t="str">
        <f ca="1">IF(B63="","",IF(ISERROR(MATCH($J63,SorP!$B$1:$B$6230,0)),"",INDIRECT("'SorP'!$A$"&amp;MATCH($J63,SorP!$B$1:$B$6230,0))))</f>
        <v>CN-NM</v>
      </c>
      <c r="U63" s="241"/>
      <c r="V63" s="275">
        <f ca="1">IF(C63="",NA(),MATCH($B63&amp;$C63,'Smelter Look-up'!$J:$J,0))</f>
        <v>105</v>
      </c>
      <c r="W63" s="276"/>
      <c r="X63" s="276">
        <f t="shared" ca="1" si="7"/>
        <v>0</v>
      </c>
      <c r="Y63" s="276"/>
      <c r="Z63" s="276"/>
      <c r="AB63" s="278" t="str">
        <f t="shared" ca="1" si="8"/>
        <v>GoldInner Mongolia Qiankun Gold and Silver Refinery Share Co., Ltd.</v>
      </c>
    </row>
    <row r="64" spans="1:28" s="277" customFormat="1" ht="25.5">
      <c r="A64" s="216" t="s">
        <v>702</v>
      </c>
      <c r="B64" s="217" t="str">
        <f ca="1">IF(LEN(A64)=0,"",INDEX('Smelter Look-up'!$A:$A,MATCH($A64,'Smelter Look-up'!$E:$E,0)))</f>
        <v>Gold</v>
      </c>
      <c r="C64" s="221" t="str">
        <f ca="1">IF(LEN(A64)=0,"",INDEX('Smelter Look-up'!$C:$C,MATCH($A64,'Smelter Look-up'!$E:$E,0)))</f>
        <v>Japan Mint</v>
      </c>
      <c r="D64" s="283"/>
      <c r="E64" s="217" t="str">
        <f ca="1">IF(ISERROR($V64),"",OFFSET('Smelter Look-up'!$D$4,$V64-4,0)&amp;"")</f>
        <v>JAPAN</v>
      </c>
      <c r="F64" s="217" t="str">
        <f ca="1">IF(ISERROR($V64),"",OFFSET('Smelter Look-up'!$E$4,$V64-4,0))</f>
        <v>CID000823</v>
      </c>
      <c r="G64" s="217" t="str">
        <f ca="1">IF(C64=$X$4,"Enter smelter details",IF(ISERROR($V64),"",OFFSET('Smelter Look-up'!$F$4,$V64-4,0)))</f>
        <v>RMI</v>
      </c>
      <c r="H64" s="218">
        <f ca="1">IF(ISERROR($V64),"",OFFSET('Smelter Look-up'!$G$4,$V64-4,0))</f>
        <v>0</v>
      </c>
      <c r="I64" s="219" t="str">
        <f ca="1">IF(ISERROR($V64),"",OFFSET('Smelter Look-up'!$H$4,$V64-4,0))</f>
        <v>Osaka</v>
      </c>
      <c r="J64" s="219" t="str">
        <f ca="1">IF(ISERROR($V64),"",OFFSET('Smelter Look-up'!$I$4,$V64-4,0))</f>
        <v>Osaka</v>
      </c>
      <c r="K64" s="273"/>
      <c r="L64" s="273"/>
      <c r="M64" s="273"/>
      <c r="N64" s="273"/>
      <c r="O64" s="273"/>
      <c r="P64" s="220"/>
      <c r="Q64" s="274"/>
      <c r="R64" s="217" t="str">
        <f ca="1">IF(ISERROR($V64),"",OFFSET('Smelter Look-up'!$C$4,$V64-4,0)&amp;"")</f>
        <v>Japan Mint</v>
      </c>
      <c r="S64" s="225" t="str">
        <f t="shared" ca="1" si="6"/>
        <v>JP</v>
      </c>
      <c r="T64" s="225" t="str">
        <f ca="1">IF(B64="","",IF(ISERROR(MATCH($J64,SorP!$B$1:$B$6230,0)),"",INDIRECT("'SorP'!$A$"&amp;MATCH($J64,SorP!$B$1:$B$6230,0))))</f>
        <v>JP-27</v>
      </c>
      <c r="U64" s="241"/>
      <c r="V64" s="275">
        <f ca="1">IF(C64="",NA(),MATCH($B64&amp;$C64,'Smelter Look-up'!$J:$J,0))</f>
        <v>111</v>
      </c>
      <c r="W64" s="276"/>
      <c r="X64" s="276">
        <f t="shared" ca="1" si="7"/>
        <v>0</v>
      </c>
      <c r="Y64" s="276"/>
      <c r="Z64" s="276"/>
      <c r="AB64" s="278" t="str">
        <f t="shared" ca="1" si="8"/>
        <v>GoldJapan Mint</v>
      </c>
    </row>
    <row r="65" spans="1:28" s="277" customFormat="1" ht="63.75">
      <c r="A65" s="216" t="s">
        <v>703</v>
      </c>
      <c r="B65" s="217" t="str">
        <f ca="1">IF(LEN(A65)=0,"",INDEX('Smelter Look-up'!$A:$A,MATCH($A65,'Smelter Look-up'!$E:$E,0)))</f>
        <v>Gold</v>
      </c>
      <c r="C65" s="221" t="str">
        <f ca="1">IF(LEN(A65)=0,"",INDEX('Smelter Look-up'!$C:$C,MATCH($A65,'Smelter Look-up'!$E:$E,0)))</f>
        <v>Jiangxi Copper Co., Ltd.</v>
      </c>
      <c r="D65" s="283"/>
      <c r="E65" s="217" t="str">
        <f ca="1">IF(ISERROR($V65),"",OFFSET('Smelter Look-up'!$D$4,$V65-4,0)&amp;"")</f>
        <v>CHINA</v>
      </c>
      <c r="F65" s="217" t="str">
        <f ca="1">IF(ISERROR($V65),"",OFFSET('Smelter Look-up'!$E$4,$V65-4,0))</f>
        <v>CID000855</v>
      </c>
      <c r="G65" s="217" t="str">
        <f ca="1">IF(C65=$X$4,"Enter smelter details",IF(ISERROR($V65),"",OFFSET('Smelter Look-up'!$F$4,$V65-4,0)))</f>
        <v>RMI</v>
      </c>
      <c r="H65" s="218">
        <f ca="1">IF(ISERROR($V65),"",OFFSET('Smelter Look-up'!$G$4,$V65-4,0))</f>
        <v>0</v>
      </c>
      <c r="I65" s="219" t="str">
        <f ca="1">IF(ISERROR($V65),"",OFFSET('Smelter Look-up'!$H$4,$V65-4,0))</f>
        <v>Guixi City</v>
      </c>
      <c r="J65" s="219" t="str">
        <f ca="1">IF(ISERROR($V65),"",OFFSET('Smelter Look-up'!$I$4,$V65-4,0))</f>
        <v>Jiangxi Sheng</v>
      </c>
      <c r="K65" s="273"/>
      <c r="L65" s="273"/>
      <c r="M65" s="273"/>
      <c r="N65" s="273"/>
      <c r="O65" s="273"/>
      <c r="P65" s="220"/>
      <c r="Q65" s="274"/>
      <c r="R65" s="217" t="str">
        <f ca="1">IF(ISERROR($V65),"",OFFSET('Smelter Look-up'!$C$4,$V65-4,0)&amp;"")</f>
        <v>Jiangxi Copper Co., Ltd.</v>
      </c>
      <c r="S65" s="225" t="str">
        <f t="shared" ca="1" si="6"/>
        <v>CN</v>
      </c>
      <c r="T65" s="225" t="str">
        <f ca="1">IF(B65="","",IF(ISERROR(MATCH($J65,SorP!$B$1:$B$6230,0)),"",INDIRECT("'SorP'!$A$"&amp;MATCH($J65,SorP!$B$1:$B$6230,0))))</f>
        <v>CN-JX</v>
      </c>
      <c r="U65" s="241"/>
      <c r="V65" s="275">
        <f ca="1">IF(C65="",NA(),MATCH($B65&amp;$C65,'Smelter Look-up'!$J:$J,0))</f>
        <v>113</v>
      </c>
      <c r="W65" s="276"/>
      <c r="X65" s="276">
        <f t="shared" ca="1" si="7"/>
        <v>0</v>
      </c>
      <c r="Y65" s="276"/>
      <c r="Z65" s="276"/>
      <c r="AB65" s="278" t="str">
        <f t="shared" ca="1" si="8"/>
        <v>GoldJiangxi Copper Co., Ltd.</v>
      </c>
    </row>
    <row r="66" spans="1:28" s="277" customFormat="1" ht="38.25">
      <c r="A66" s="216" t="s">
        <v>707</v>
      </c>
      <c r="B66" s="217" t="str">
        <f ca="1">IF(LEN(A66)=0,"",INDEX('Smelter Look-up'!$A:$A,MATCH($A66,'Smelter Look-up'!$E:$E,0)))</f>
        <v>Gold</v>
      </c>
      <c r="C66" s="221" t="str">
        <f ca="1">IF(LEN(A66)=0,"",INDEX('Smelter Look-up'!$C:$C,MATCH($A66,'Smelter Look-up'!$E:$E,0)))</f>
        <v>JSC Uralelectromed</v>
      </c>
      <c r="D66" s="283"/>
      <c r="E66" s="217" t="str">
        <f ca="1">IF(ISERROR($V66),"",OFFSET('Smelter Look-up'!$D$4,$V66-4,0)&amp;"")</f>
        <v>RUSSIAN FEDERATION</v>
      </c>
      <c r="F66" s="217" t="str">
        <f ca="1">IF(ISERROR($V66),"",OFFSET('Smelter Look-up'!$E$4,$V66-4,0))</f>
        <v>CID000929</v>
      </c>
      <c r="G66" s="217" t="str">
        <f ca="1">IF(C66=$X$4,"Enter smelter details",IF(ISERROR($V66),"",OFFSET('Smelter Look-up'!$F$4,$V66-4,0)))</f>
        <v>RMI</v>
      </c>
      <c r="H66" s="218">
        <f ca="1">IF(ISERROR($V66),"",OFFSET('Smelter Look-up'!$G$4,$V66-4,0))</f>
        <v>0</v>
      </c>
      <c r="I66" s="219" t="str">
        <f ca="1">IF(ISERROR($V66),"",OFFSET('Smelter Look-up'!$H$4,$V66-4,0))</f>
        <v>Verkhnyaya Pyshma</v>
      </c>
      <c r="J66" s="219" t="str">
        <f ca="1">IF(ISERROR($V66),"",OFFSET('Smelter Look-up'!$I$4,$V66-4,0))</f>
        <v>Sverdlovskaya oblast'</v>
      </c>
      <c r="K66" s="273"/>
      <c r="L66" s="273"/>
      <c r="M66" s="273"/>
      <c r="N66" s="273"/>
      <c r="O66" s="273"/>
      <c r="P66" s="220"/>
      <c r="Q66" s="274"/>
      <c r="R66" s="217" t="str">
        <f ca="1">IF(ISERROR($V66),"",OFFSET('Smelter Look-up'!$C$4,$V66-4,0)&amp;"")</f>
        <v>JSC Uralelectromed</v>
      </c>
      <c r="S66" s="225" t="str">
        <f t="shared" ca="1" si="6"/>
        <v>RU</v>
      </c>
      <c r="T66" s="225" t="str">
        <f ca="1">IF(B66="","",IF(ISERROR(MATCH($J66,SorP!$B$1:$B$6230,0)),"",INDIRECT("'SorP'!$A$"&amp;MATCH($J66,SorP!$B$1:$B$6230,0))))</f>
        <v>RU-SVE</v>
      </c>
      <c r="U66" s="241"/>
      <c r="V66" s="275">
        <f ca="1">IF(C66="",NA(),MATCH($B66&amp;$C66,'Smelter Look-up'!$J:$J,0))</f>
        <v>119</v>
      </c>
      <c r="W66" s="276"/>
      <c r="X66" s="276">
        <f t="shared" ca="1" si="7"/>
        <v>0</v>
      </c>
      <c r="Y66" s="276"/>
      <c r="Z66" s="276"/>
      <c r="AB66" s="278" t="str">
        <f t="shared" ca="1" si="8"/>
        <v>GoldJSC Uralelectromed</v>
      </c>
    </row>
    <row r="67" spans="1:28" s="277" customFormat="1" ht="25.5">
      <c r="A67" s="216" t="s">
        <v>709</v>
      </c>
      <c r="B67" s="217" t="str">
        <f ca="1">IF(LEN(A67)=0,"",INDEX('Smelter Look-up'!$A:$A,MATCH($A67,'Smelter Look-up'!$E:$E,0)))</f>
        <v>Gold</v>
      </c>
      <c r="C67" s="221" t="str">
        <f ca="1">IF(LEN(A67)=0,"",INDEX('Smelter Look-up'!$C:$C,MATCH($A67,'Smelter Look-up'!$E:$E,0)))</f>
        <v>Kazzinc</v>
      </c>
      <c r="D67" s="283"/>
      <c r="E67" s="217" t="str">
        <f ca="1">IF(ISERROR($V67),"",OFFSET('Smelter Look-up'!$D$4,$V67-4,0)&amp;"")</f>
        <v>KAZAKHSTAN</v>
      </c>
      <c r="F67" s="217" t="str">
        <f ca="1">IF(ISERROR($V67),"",OFFSET('Smelter Look-up'!$E$4,$V67-4,0))</f>
        <v>CID000957</v>
      </c>
      <c r="G67" s="217" t="str">
        <f ca="1">IF(C67=$X$4,"Enter smelter details",IF(ISERROR($V67),"",OFFSET('Smelter Look-up'!$F$4,$V67-4,0)))</f>
        <v>RMI</v>
      </c>
      <c r="H67" s="218">
        <f ca="1">IF(ISERROR($V67),"",OFFSET('Smelter Look-up'!$G$4,$V67-4,0))</f>
        <v>0</v>
      </c>
      <c r="I67" s="219" t="str">
        <f ca="1">IF(ISERROR($V67),"",OFFSET('Smelter Look-up'!$H$4,$V67-4,0))</f>
        <v>Ust-Kamenogorsk</v>
      </c>
      <c r="J67" s="219" t="str">
        <f ca="1">IF(ISERROR($V67),"",OFFSET('Smelter Look-up'!$I$4,$V67-4,0))</f>
        <v>Qaraghandy oblysy</v>
      </c>
      <c r="K67" s="273"/>
      <c r="L67" s="273"/>
      <c r="M67" s="273"/>
      <c r="N67" s="273"/>
      <c r="O67" s="273"/>
      <c r="P67" s="220"/>
      <c r="Q67" s="274"/>
      <c r="R67" s="217" t="str">
        <f ca="1">IF(ISERROR($V67),"",OFFSET('Smelter Look-up'!$C$4,$V67-4,0)&amp;"")</f>
        <v>Kazzinc</v>
      </c>
      <c r="S67" s="225" t="str">
        <f t="shared" ca="1" si="6"/>
        <v>KZ</v>
      </c>
      <c r="T67" s="225" t="str">
        <f ca="1">IF(B67="","",IF(ISERROR(MATCH($J67,SorP!$B$1:$B$6230,0)),"",INDIRECT("'SorP'!$A$"&amp;MATCH($J67,SorP!$B$1:$B$6230,0))))</f>
        <v>KZ-KAR</v>
      </c>
      <c r="U67" s="241"/>
      <c r="V67" s="275">
        <f ca="1">IF(C67="",NA(),MATCH($B67&amp;$C67,'Smelter Look-up'!$J:$J,0))</f>
        <v>123</v>
      </c>
      <c r="W67" s="276"/>
      <c r="X67" s="276">
        <f t="shared" ca="1" si="7"/>
        <v>0</v>
      </c>
      <c r="Y67" s="276"/>
      <c r="Z67" s="276"/>
      <c r="AB67" s="278" t="str">
        <f t="shared" ca="1" si="8"/>
        <v>GoldKazzinc</v>
      </c>
    </row>
    <row r="68" spans="1:28" s="277" customFormat="1" ht="76.5">
      <c r="A68" s="216" t="s">
        <v>1412</v>
      </c>
      <c r="B68" s="217" t="str">
        <f ca="1">IF(LEN(A68)=0,"",INDEX('Smelter Look-up'!$A:$A,MATCH($A68,'Smelter Look-up'!$E:$E,0)))</f>
        <v>Gold</v>
      </c>
      <c r="C68" s="221" t="str">
        <f ca="1">IF(LEN(A68)=0,"",INDEX('Smelter Look-up'!$C:$C,MATCH($A68,'Smelter Look-up'!$E:$E,0)))</f>
        <v>KGHM Polska Miedz Spolka Akcyjna</v>
      </c>
      <c r="D68" s="283"/>
      <c r="E68" s="217" t="str">
        <f ca="1">IF(ISERROR($V68),"",OFFSET('Smelter Look-up'!$D$4,$V68-4,0)&amp;"")</f>
        <v>POLAND</v>
      </c>
      <c r="F68" s="217" t="str">
        <f ca="1">IF(ISERROR($V68),"",OFFSET('Smelter Look-up'!$E$4,$V68-4,0))</f>
        <v>CID002511</v>
      </c>
      <c r="G68" s="217" t="str">
        <f ca="1">IF(C68=$X$4,"Enter smelter details",IF(ISERROR($V68),"",OFFSET('Smelter Look-up'!$F$4,$V68-4,0)))</f>
        <v>RMI</v>
      </c>
      <c r="H68" s="218">
        <f ca="1">IF(ISERROR($V68),"",OFFSET('Smelter Look-up'!$G$4,$V68-4,0))</f>
        <v>0</v>
      </c>
      <c r="I68" s="219" t="str">
        <f ca="1">IF(ISERROR($V68),"",OFFSET('Smelter Look-up'!$H$4,$V68-4,0))</f>
        <v>Lubin</v>
      </c>
      <c r="J68" s="219" t="str">
        <f ca="1">IF(ISERROR($V68),"",OFFSET('Smelter Look-up'!$I$4,$V68-4,0))</f>
        <v>Dolnośląskie</v>
      </c>
      <c r="K68" s="273"/>
      <c r="L68" s="273"/>
      <c r="M68" s="273"/>
      <c r="N68" s="273"/>
      <c r="O68" s="273"/>
      <c r="P68" s="220"/>
      <c r="Q68" s="274"/>
      <c r="R68" s="217" t="str">
        <f ca="1">IF(ISERROR($V68),"",OFFSET('Smelter Look-up'!$C$4,$V68-4,0)&amp;"")</f>
        <v>KGHM Polska Miedz Spolka Akcyjna</v>
      </c>
      <c r="S68" s="225" t="str">
        <f t="shared" ca="1" si="6"/>
        <v>PL</v>
      </c>
      <c r="T68" s="225" t="str">
        <f ca="1">IF(B68="","",IF(ISERROR(MATCH($J68,SorP!$B$1:$B$6230,0)),"",INDIRECT("'SorP'!$A$"&amp;MATCH($J68,SorP!$B$1:$B$6230,0))))</f>
        <v>PL-02</v>
      </c>
      <c r="U68" s="241"/>
      <c r="V68" s="275">
        <f ca="1">IF(C68="",NA(),MATCH($B68&amp;$C68,'Smelter Look-up'!$J:$J,0))</f>
        <v>126</v>
      </c>
      <c r="W68" s="276"/>
      <c r="X68" s="276">
        <f t="shared" ca="1" si="7"/>
        <v>0</v>
      </c>
      <c r="Y68" s="276"/>
      <c r="Z68" s="276"/>
      <c r="AB68" s="278" t="str">
        <f t="shared" ca="1" si="8"/>
        <v>GoldKGHM Polska Miedz Spolka Akcyjna</v>
      </c>
    </row>
    <row r="69" spans="1:28" s="277" customFormat="1" ht="51">
      <c r="A69" s="216" t="s">
        <v>1749</v>
      </c>
      <c r="B69" s="217" t="str">
        <f ca="1">IF(LEN(A69)=0,"",INDEX('Smelter Look-up'!$A:$A,MATCH($A69,'Smelter Look-up'!$E:$E,0)))</f>
        <v>Gold</v>
      </c>
      <c r="C69" s="221" t="str">
        <f ca="1">IF(LEN(A69)=0,"",INDEX('Smelter Look-up'!$C:$C,MATCH($A69,'Smelter Look-up'!$E:$E,0)))</f>
        <v>Korea Zinc Co., Ltd.</v>
      </c>
      <c r="D69" s="283"/>
      <c r="E69" s="217" t="str">
        <f ca="1">IF(ISERROR($V69),"",OFFSET('Smelter Look-up'!$D$4,$V69-4,0)&amp;"")</f>
        <v>KOREA, REPUBLIC OF</v>
      </c>
      <c r="F69" s="217" t="str">
        <f ca="1">IF(ISERROR($V69),"",OFFSET('Smelter Look-up'!$E$4,$V69-4,0))</f>
        <v>CID002605</v>
      </c>
      <c r="G69" s="217" t="str">
        <f ca="1">IF(C69=$X$4,"Enter smelter details",IF(ISERROR($V69),"",OFFSET('Smelter Look-up'!$F$4,$V69-4,0)))</f>
        <v>RMI</v>
      </c>
      <c r="H69" s="218">
        <f ca="1">IF(ISERROR($V69),"",OFFSET('Smelter Look-up'!$G$4,$V69-4,0))</f>
        <v>0</v>
      </c>
      <c r="I69" s="219" t="str">
        <f ca="1">IF(ISERROR($V69),"",OFFSET('Smelter Look-up'!$H$4,$V69-4,0))</f>
        <v>Gangnam</v>
      </c>
      <c r="J69" s="219" t="str">
        <f ca="1">IF(ISERROR($V69),"",OFFSET('Smelter Look-up'!$I$4,$V69-4,0))</f>
        <v>Seoul-teukbyeolsi</v>
      </c>
      <c r="K69" s="273"/>
      <c r="L69" s="273"/>
      <c r="M69" s="273"/>
      <c r="N69" s="273"/>
      <c r="O69" s="273"/>
      <c r="P69" s="220"/>
      <c r="Q69" s="274"/>
      <c r="R69" s="217" t="str">
        <f ca="1">IF(ISERROR($V69),"",OFFSET('Smelter Look-up'!$C$4,$V69-4,0)&amp;"")</f>
        <v>Korea Zinc Co., Ltd.</v>
      </c>
      <c r="S69" s="225" t="str">
        <f t="shared" ref="S69" ca="1" si="9">IF(B69="","",IF(ISERROR(MATCH($E69,CL,0)),"Unknown",INDIRECT("'C'!$A$"&amp;MATCH($E69,CL,0)+1)))</f>
        <v>KR</v>
      </c>
      <c r="T69" s="225" t="str">
        <f ca="1">IF(B69="","",IF(ISERROR(MATCH($J69,SorP!$B$1:$B$6230,0)),"",INDIRECT("'SorP'!$A$"&amp;MATCH($J69,SorP!$B$1:$B$6230,0))))</f>
        <v>KR-11</v>
      </c>
      <c r="U69" s="241"/>
      <c r="V69" s="275">
        <f ca="1">IF(C69="",NA(),MATCH($B69&amp;$C69,'Smelter Look-up'!$J:$J,0))</f>
        <v>131</v>
      </c>
      <c r="W69" s="276"/>
      <c r="X69" s="276">
        <f t="shared" ref="X69" ca="1" si="10">IF(AND(C69="Smelter not listed",OR(LEN(D69)=0,LEN(E69)=0)),1,0)</f>
        <v>0</v>
      </c>
      <c r="Y69" s="276"/>
      <c r="Z69" s="276"/>
      <c r="AB69" s="278" t="str">
        <f t="shared" ref="AB69" ca="1" si="11">B69&amp;C69</f>
        <v>GoldKorea Zinc Co., Ltd.</v>
      </c>
    </row>
    <row r="70" spans="1:28" s="277" customFormat="1" ht="38.25">
      <c r="A70" s="216" t="s">
        <v>713</v>
      </c>
      <c r="B70" s="217" t="str">
        <f ca="1">IF(LEN(A70)=0,"",INDEX('Smelter Look-up'!$A:$A,MATCH($A70,'Smelter Look-up'!$E:$E,0)))</f>
        <v>Gold</v>
      </c>
      <c r="C70" s="221" t="str">
        <f ca="1">IF(LEN(A70)=0,"",INDEX('Smelter Look-up'!$C:$C,MATCH($A70,'Smelter Look-up'!$E:$E,0)))</f>
        <v>Kyrgyzaltyn JSC</v>
      </c>
      <c r="D70" s="283"/>
      <c r="E70" s="217" t="str">
        <f ca="1">IF(ISERROR($V70),"",OFFSET('Smelter Look-up'!$D$4,$V70-4,0)&amp;"")</f>
        <v>KYRGYZSTAN</v>
      </c>
      <c r="F70" s="217" t="str">
        <f ca="1">IF(ISERROR($V70),"",OFFSET('Smelter Look-up'!$E$4,$V70-4,0))</f>
        <v>CID001029</v>
      </c>
      <c r="G70" s="217" t="str">
        <f ca="1">IF(C70=$X$4,"Enter smelter details",IF(ISERROR($V70),"",OFFSET('Smelter Look-up'!$F$4,$V70-4,0)))</f>
        <v>RMI</v>
      </c>
      <c r="H70" s="218">
        <f ca="1">IF(ISERROR($V70),"",OFFSET('Smelter Look-up'!$G$4,$V70-4,0))</f>
        <v>0</v>
      </c>
      <c r="I70" s="219" t="str">
        <f ca="1">IF(ISERROR($V70),"",OFFSET('Smelter Look-up'!$H$4,$V70-4,0))</f>
        <v>Bishkek</v>
      </c>
      <c r="J70" s="219" t="str">
        <f ca="1">IF(ISERROR($V70),"",OFFSET('Smelter Look-up'!$I$4,$V70-4,0))</f>
        <v>Chüy</v>
      </c>
      <c r="K70" s="273"/>
      <c r="L70" s="273"/>
      <c r="M70" s="273"/>
      <c r="N70" s="273"/>
      <c r="O70" s="273"/>
      <c r="P70" s="220"/>
      <c r="Q70" s="274"/>
      <c r="R70" s="217" t="str">
        <f ca="1">IF(ISERROR($V70),"",OFFSET('Smelter Look-up'!$C$4,$V70-4,0)&amp;"")</f>
        <v>Kyrgyzaltyn JSC</v>
      </c>
      <c r="S70" s="225" t="str">
        <f t="shared" ref="S70:S101" ca="1" si="12">IF(B70="","",IF(ISERROR(MATCH($E70,CL,0)),"Unknown",INDIRECT("'C'!$A$"&amp;MATCH($E70,CL,0)+1)))</f>
        <v>KG</v>
      </c>
      <c r="T70" s="225" t="str">
        <f ca="1">IF(B70="","",IF(ISERROR(MATCH($J70,SorP!$B$1:$B$6230,0)),"",INDIRECT("'SorP'!$A$"&amp;MATCH($J70,SorP!$B$1:$B$6230,0))))</f>
        <v>KG-C</v>
      </c>
      <c r="U70" s="241"/>
      <c r="V70" s="275">
        <f ca="1">IF(C70="",NA(),MATCH($B70&amp;$C70,'Smelter Look-up'!$J:$J,0))</f>
        <v>134</v>
      </c>
      <c r="W70" s="276"/>
      <c r="X70" s="276">
        <f t="shared" ref="X70:X101" ca="1" si="13">IF(AND(C70="Smelter not listed",OR(LEN(D70)=0,LEN(E70)=0)),1,0)</f>
        <v>0</v>
      </c>
      <c r="Y70" s="276"/>
      <c r="Z70" s="276"/>
      <c r="AB70" s="278" t="str">
        <f t="shared" ref="AB70:AB101" ca="1" si="14">B70&amp;C70</f>
        <v>GoldKyrgyzaltyn JSC</v>
      </c>
    </row>
    <row r="71" spans="1:28" s="277" customFormat="1" ht="38.25">
      <c r="A71" s="216" t="s">
        <v>2584</v>
      </c>
      <c r="B71" s="217" t="str">
        <f ca="1">IF(LEN(A71)=0,"",INDEX('Smelter Look-up'!$A:$A,MATCH($A71,'Smelter Look-up'!$E:$E,0)))</f>
        <v>Gold</v>
      </c>
      <c r="C71" s="221" t="str">
        <f ca="1">IF(LEN(A71)=0,"",INDEX('Smelter Look-up'!$C:$C,MATCH($A71,'Smelter Look-up'!$E:$E,0)))</f>
        <v>L'Orfebre S.A.</v>
      </c>
      <c r="D71" s="283"/>
      <c r="E71" s="217" t="str">
        <f ca="1">IF(ISERROR($V71),"",OFFSET('Smelter Look-up'!$D$4,$V71-4,0)&amp;"")</f>
        <v>ANDORRA</v>
      </c>
      <c r="F71" s="217" t="str">
        <f ca="1">IF(ISERROR($V71),"",OFFSET('Smelter Look-up'!$E$4,$V71-4,0))</f>
        <v>CID002762</v>
      </c>
      <c r="G71" s="217" t="str">
        <f ca="1">IF(C71=$X$4,"Enter smelter details",IF(ISERROR($V71),"",OFFSET('Smelter Look-up'!$F$4,$V71-4,0)))</f>
        <v>RMI</v>
      </c>
      <c r="H71" s="218">
        <f ca="1">IF(ISERROR($V71),"",OFFSET('Smelter Look-up'!$G$4,$V71-4,0))</f>
        <v>0</v>
      </c>
      <c r="I71" s="219" t="str">
        <f ca="1">IF(ISERROR($V71),"",OFFSET('Smelter Look-up'!$H$4,$V71-4,0))</f>
        <v>Andorra la Vella</v>
      </c>
      <c r="J71" s="219" t="str">
        <f ca="1">IF(ISERROR($V71),"",OFFSET('Smelter Look-up'!$I$4,$V71-4,0))</f>
        <v>Andorra la Vella</v>
      </c>
      <c r="K71" s="273"/>
      <c r="L71" s="273"/>
      <c r="M71" s="273"/>
      <c r="N71" s="273"/>
      <c r="O71" s="273"/>
      <c r="P71" s="220"/>
      <c r="Q71" s="274"/>
      <c r="R71" s="217" t="str">
        <f ca="1">IF(ISERROR($V71),"",OFFSET('Smelter Look-up'!$C$4,$V71-4,0)&amp;"")</f>
        <v>L'Orfebre S.A.</v>
      </c>
      <c r="S71" s="225" t="str">
        <f t="shared" ca="1" si="12"/>
        <v>AD</v>
      </c>
      <c r="T71" s="225" t="str">
        <f ca="1">IF(B71="","",IF(ISERROR(MATCH($J71,SorP!$B$1:$B$6230,0)),"",INDIRECT("'SorP'!$A$"&amp;MATCH($J71,SorP!$B$1:$B$6230,0))))</f>
        <v>AD-07</v>
      </c>
      <c r="U71" s="241"/>
      <c r="V71" s="275">
        <f ca="1">IF(C71="",NA(),MATCH($B71&amp;$C71,'Smelter Look-up'!$J:$J,0))</f>
        <v>142</v>
      </c>
      <c r="W71" s="276"/>
      <c r="X71" s="276">
        <f t="shared" ca="1" si="13"/>
        <v>0</v>
      </c>
      <c r="Y71" s="276"/>
      <c r="Z71" s="276"/>
      <c r="AB71" s="278" t="str">
        <f t="shared" ca="1" si="14"/>
        <v>GoldL'Orfebre S.A.</v>
      </c>
    </row>
    <row r="72" spans="1:28" s="277" customFormat="1" ht="102">
      <c r="A72" s="216" t="s">
        <v>722</v>
      </c>
      <c r="B72" s="217" t="str">
        <f ca="1">IF(LEN(A72)=0,"",INDEX('Smelter Look-up'!$A:$A,MATCH($A72,'Smelter Look-up'!$E:$E,0)))</f>
        <v>Gold</v>
      </c>
      <c r="C72" s="221" t="str">
        <f ca="1">IF(LEN(A72)=0,"",INDEX('Smelter Look-up'!$C:$C,MATCH($A72,'Smelter Look-up'!$E:$E,0)))</f>
        <v>Metalor Technologies (Singapore) Pte., Ltd.</v>
      </c>
      <c r="D72" s="283"/>
      <c r="E72" s="217" t="str">
        <f ca="1">IF(ISERROR($V72),"",OFFSET('Smelter Look-up'!$D$4,$V72-4,0)&amp;"")</f>
        <v>SINGAPORE</v>
      </c>
      <c r="F72" s="217" t="str">
        <f ca="1">IF(ISERROR($V72),"",OFFSET('Smelter Look-up'!$E$4,$V72-4,0))</f>
        <v>CID001152</v>
      </c>
      <c r="G72" s="217" t="str">
        <f ca="1">IF(C72=$X$4,"Enter smelter details",IF(ISERROR($V72),"",OFFSET('Smelter Look-up'!$F$4,$V72-4,0)))</f>
        <v>RMI</v>
      </c>
      <c r="H72" s="218">
        <f ca="1">IF(ISERROR($V72),"",OFFSET('Smelter Look-up'!$G$4,$V72-4,0))</f>
        <v>0</v>
      </c>
      <c r="I72" s="219" t="str">
        <f ca="1">IF(ISERROR($V72),"",OFFSET('Smelter Look-up'!$H$4,$V72-4,0))</f>
        <v>Singapore</v>
      </c>
      <c r="J72" s="219" t="str">
        <f ca="1">IF(ISERROR($V72),"",OFFSET('Smelter Look-up'!$I$4,$V72-4,0))</f>
        <v>South West</v>
      </c>
      <c r="K72" s="273"/>
      <c r="L72" s="273"/>
      <c r="M72" s="273"/>
      <c r="N72" s="273"/>
      <c r="O72" s="273"/>
      <c r="P72" s="220"/>
      <c r="Q72" s="274"/>
      <c r="R72" s="217" t="str">
        <f ca="1">IF(ISERROR($V72),"",OFFSET('Smelter Look-up'!$C$4,$V72-4,0)&amp;"")</f>
        <v>Metalor Technologies (Singapore) Pte., Ltd.</v>
      </c>
      <c r="S72" s="225" t="str">
        <f t="shared" ca="1" si="12"/>
        <v>SG</v>
      </c>
      <c r="T72" s="225" t="str">
        <f ca="1">IF(B72="","",IF(ISERROR(MATCH($J72,SorP!$B$1:$B$6230,0)),"",INDIRECT("'SorP'!$A$"&amp;MATCH($J72,SorP!$B$1:$B$6230,0))))</f>
        <v>SG-05</v>
      </c>
      <c r="U72" s="241"/>
      <c r="V72" s="275">
        <f ca="1">IF(C72="",NA(),MATCH($B72&amp;$C72,'Smelter Look-up'!$J:$J,0))</f>
        <v>156</v>
      </c>
      <c r="W72" s="276"/>
      <c r="X72" s="276">
        <f t="shared" ca="1" si="13"/>
        <v>0</v>
      </c>
      <c r="Y72" s="276"/>
      <c r="Z72" s="276"/>
      <c r="AB72" s="278" t="str">
        <f t="shared" ca="1" si="14"/>
        <v>GoldMetalor Technologies (Singapore) Pte., Ltd.</v>
      </c>
    </row>
    <row r="73" spans="1:28" s="277" customFormat="1" ht="76.5">
      <c r="A73" s="216" t="s">
        <v>1650</v>
      </c>
      <c r="B73" s="217" t="str">
        <f ca="1">IF(LEN(A73)=0,"",INDEX('Smelter Look-up'!$A:$A,MATCH($A73,'Smelter Look-up'!$E:$E,0)))</f>
        <v>Gold</v>
      </c>
      <c r="C73" s="221" t="str">
        <f ca="1">IF(LEN(A73)=0,"",INDEX('Smelter Look-up'!$C:$C,MATCH($A73,'Smelter Look-up'!$E:$E,0)))</f>
        <v>Metalor Technologies (Suzhou) Ltd.</v>
      </c>
      <c r="D73" s="283"/>
      <c r="E73" s="217" t="str">
        <f ca="1">IF(ISERROR($V73),"",OFFSET('Smelter Look-up'!$D$4,$V73-4,0)&amp;"")</f>
        <v>CHINA</v>
      </c>
      <c r="F73" s="217" t="str">
        <f ca="1">IF(ISERROR($V73),"",OFFSET('Smelter Look-up'!$E$4,$V73-4,0))</f>
        <v>CID001147</v>
      </c>
      <c r="G73" s="217" t="str">
        <f ca="1">IF(C73=$X$4,"Enter smelter details",IF(ISERROR($V73),"",OFFSET('Smelter Look-up'!$F$4,$V73-4,0)))</f>
        <v>RMI</v>
      </c>
      <c r="H73" s="218">
        <f ca="1">IF(ISERROR($V73),"",OFFSET('Smelter Look-up'!$G$4,$V73-4,0))</f>
        <v>0</v>
      </c>
      <c r="I73" s="219" t="str">
        <f ca="1">IF(ISERROR($V73),"",OFFSET('Smelter Look-up'!$H$4,$V73-4,0))</f>
        <v>Suzhou</v>
      </c>
      <c r="J73" s="219" t="str">
        <f ca="1">IF(ISERROR($V73),"",OFFSET('Smelter Look-up'!$I$4,$V73-4,0))</f>
        <v>Jiangsu Sheng</v>
      </c>
      <c r="K73" s="273"/>
      <c r="L73" s="273"/>
      <c r="M73" s="273"/>
      <c r="N73" s="273"/>
      <c r="O73" s="273"/>
      <c r="P73" s="220"/>
      <c r="Q73" s="274"/>
      <c r="R73" s="217" t="str">
        <f ca="1">IF(ISERROR($V73),"",OFFSET('Smelter Look-up'!$C$4,$V73-4,0)&amp;"")</f>
        <v>Metalor Technologies (Suzhou) Ltd.</v>
      </c>
      <c r="S73" s="225" t="str">
        <f t="shared" ca="1" si="12"/>
        <v>CN</v>
      </c>
      <c r="T73" s="225" t="str">
        <f ca="1">IF(B73="","",IF(ISERROR(MATCH($J73,SorP!$B$1:$B$6230,0)),"",INDIRECT("'SorP'!$A$"&amp;MATCH($J73,SorP!$B$1:$B$6230,0))))</f>
        <v>CN-JS</v>
      </c>
      <c r="U73" s="241"/>
      <c r="V73" s="275">
        <f ca="1">IF(C73="",NA(),MATCH($B73&amp;$C73,'Smelter Look-up'!$J:$J,0))</f>
        <v>157</v>
      </c>
      <c r="W73" s="276"/>
      <c r="X73" s="276">
        <f t="shared" ca="1" si="13"/>
        <v>0</v>
      </c>
      <c r="Y73" s="276"/>
      <c r="Z73" s="276"/>
      <c r="AB73" s="278" t="str">
        <f t="shared" ca="1" si="14"/>
        <v>GoldMetalor Technologies (Suzhou) Ltd.</v>
      </c>
    </row>
    <row r="74" spans="1:28" s="277" customFormat="1" ht="76.5">
      <c r="A74" s="216" t="s">
        <v>1414</v>
      </c>
      <c r="B74" s="217" t="str">
        <f ca="1">IF(LEN(A74)=0,"",INDEX('Smelter Look-up'!$A:$A,MATCH($A74,'Smelter Look-up'!$E:$E,0)))</f>
        <v>Gold</v>
      </c>
      <c r="C74" s="221" t="str">
        <f ca="1">IF(LEN(A74)=0,"",INDEX('Smelter Look-up'!$C:$C,MATCH($A74,'Smelter Look-up'!$E:$E,0)))</f>
        <v>MMTC-PAMP India Pvt., Ltd.</v>
      </c>
      <c r="D74" s="283"/>
      <c r="E74" s="217" t="str">
        <f ca="1">IF(ISERROR($V74),"",OFFSET('Smelter Look-up'!$D$4,$V74-4,0)&amp;"")</f>
        <v>INDIA</v>
      </c>
      <c r="F74" s="217" t="str">
        <f ca="1">IF(ISERROR($V74),"",OFFSET('Smelter Look-up'!$E$4,$V74-4,0))</f>
        <v>CID002509</v>
      </c>
      <c r="G74" s="217" t="str">
        <f ca="1">IF(C74=$X$4,"Enter smelter details",IF(ISERROR($V74),"",OFFSET('Smelter Look-up'!$F$4,$V74-4,0)))</f>
        <v>RMI</v>
      </c>
      <c r="H74" s="218">
        <f ca="1">IF(ISERROR($V74),"",OFFSET('Smelter Look-up'!$G$4,$V74-4,0))</f>
        <v>0</v>
      </c>
      <c r="I74" s="219" t="str">
        <f ca="1">IF(ISERROR($V74),"",OFFSET('Smelter Look-up'!$H$4,$V74-4,0))</f>
        <v>Mewat</v>
      </c>
      <c r="J74" s="219" t="str">
        <f ca="1">IF(ISERROR($V74),"",OFFSET('Smelter Look-up'!$I$4,$V74-4,0))</f>
        <v>Haryana</v>
      </c>
      <c r="K74" s="273"/>
      <c r="L74" s="273"/>
      <c r="M74" s="273"/>
      <c r="N74" s="273"/>
      <c r="O74" s="273"/>
      <c r="P74" s="220"/>
      <c r="Q74" s="274"/>
      <c r="R74" s="217" t="str">
        <f ca="1">IF(ISERROR($V74),"",OFFSET('Smelter Look-up'!$C$4,$V74-4,0)&amp;"")</f>
        <v>MMTC-PAMP India Pvt., Ltd.</v>
      </c>
      <c r="S74" s="225" t="str">
        <f t="shared" ca="1" si="12"/>
        <v>IN</v>
      </c>
      <c r="T74" s="225" t="str">
        <f ca="1">IF(B74="","",IF(ISERROR(MATCH($J74,SorP!$B$1:$B$6230,0)),"",INDIRECT("'SorP'!$A$"&amp;MATCH($J74,SorP!$B$1:$B$6230,0))))</f>
        <v>IN-HR</v>
      </c>
      <c r="U74" s="241"/>
      <c r="V74" s="275">
        <f ca="1">IF(C74="",NA(),MATCH($B74&amp;$C74,'Smelter Look-up'!$J:$J,0))</f>
        <v>167</v>
      </c>
      <c r="W74" s="276"/>
      <c r="X74" s="276">
        <f t="shared" ca="1" si="13"/>
        <v>0</v>
      </c>
      <c r="Y74" s="276"/>
      <c r="Z74" s="276"/>
      <c r="AB74" s="278" t="str">
        <f t="shared" ca="1" si="14"/>
        <v>GoldMMTC-PAMP India Pvt., Ltd.</v>
      </c>
    </row>
    <row r="75" spans="1:28" s="277" customFormat="1" ht="76.5">
      <c r="A75" s="216" t="s">
        <v>729</v>
      </c>
      <c r="B75" s="217" t="str">
        <f ca="1">IF(LEN(A75)=0,"",INDEX('Smelter Look-up'!$A:$A,MATCH($A75,'Smelter Look-up'!$E:$E,0)))</f>
        <v>Gold</v>
      </c>
      <c r="C75" s="221" t="str">
        <f ca="1">IF(LEN(A75)=0,"",INDEX('Smelter Look-up'!$C:$C,MATCH($A75,'Smelter Look-up'!$E:$E,0)))</f>
        <v>Nadir Metal Rafineri San. Ve Tic. A.S.</v>
      </c>
      <c r="D75" s="283"/>
      <c r="E75" s="217" t="str">
        <f ca="1">IF(ISERROR($V75),"",OFFSET('Smelter Look-up'!$D$4,$V75-4,0)&amp;"")</f>
        <v>TURKEY</v>
      </c>
      <c r="F75" s="217" t="str">
        <f ca="1">IF(ISERROR($V75),"",OFFSET('Smelter Look-up'!$E$4,$V75-4,0))</f>
        <v>CID001220</v>
      </c>
      <c r="G75" s="217" t="str">
        <f ca="1">IF(C75=$X$4,"Enter smelter details",IF(ISERROR($V75),"",OFFSET('Smelter Look-up'!$F$4,$V75-4,0)))</f>
        <v>RMI</v>
      </c>
      <c r="H75" s="218">
        <f ca="1">IF(ISERROR($V75),"",OFFSET('Smelter Look-up'!$G$4,$V75-4,0))</f>
        <v>0</v>
      </c>
      <c r="I75" s="219" t="str">
        <f ca="1">IF(ISERROR($V75),"",OFFSET('Smelter Look-up'!$H$4,$V75-4,0))</f>
        <v>Bahçelievler</v>
      </c>
      <c r="J75" s="219" t="str">
        <f ca="1">IF(ISERROR($V75),"",OFFSET('Smelter Look-up'!$I$4,$V75-4,0))</f>
        <v>İstanbul</v>
      </c>
      <c r="K75" s="273"/>
      <c r="L75" s="273"/>
      <c r="M75" s="273"/>
      <c r="N75" s="273"/>
      <c r="O75" s="273"/>
      <c r="P75" s="220"/>
      <c r="Q75" s="274"/>
      <c r="R75" s="217" t="str">
        <f ca="1">IF(ISERROR($V75),"",OFFSET('Smelter Look-up'!$C$4,$V75-4,0)&amp;"")</f>
        <v>Nadir Metal Rafineri San. Ve Tic. A.S.</v>
      </c>
      <c r="S75" s="225" t="str">
        <f t="shared" ca="1" si="12"/>
        <v>TR</v>
      </c>
      <c r="T75" s="225" t="str">
        <f ca="1">IF(B75="","",IF(ISERROR(MATCH($J75,SorP!$B$1:$B$6230,0)),"",INDIRECT("'SorP'!$A$"&amp;MATCH($J75,SorP!$B$1:$B$6230,0))))</f>
        <v>TR-34</v>
      </c>
      <c r="U75" s="241"/>
      <c r="V75" s="275">
        <f ca="1">IF(C75="",NA(),MATCH($B75&amp;$C75,'Smelter Look-up'!$J:$J,0))</f>
        <v>171</v>
      </c>
      <c r="W75" s="276"/>
      <c r="X75" s="276">
        <f t="shared" ca="1" si="13"/>
        <v>0</v>
      </c>
      <c r="Y75" s="276"/>
      <c r="Z75" s="276"/>
      <c r="AB75" s="278" t="str">
        <f t="shared" ca="1" si="14"/>
        <v>GoldNadir Metal Rafineri San. Ve Tic. A.S.</v>
      </c>
    </row>
    <row r="76" spans="1:28" s="277" customFormat="1" ht="102">
      <c r="A76" s="216" t="s">
        <v>730</v>
      </c>
      <c r="B76" s="217" t="str">
        <f ca="1">IF(LEN(A76)=0,"",INDEX('Smelter Look-up'!$A:$A,MATCH($A76,'Smelter Look-up'!$E:$E,0)))</f>
        <v>Gold</v>
      </c>
      <c r="C76" s="221" t="str">
        <f ca="1">IF(LEN(A76)=0,"",INDEX('Smelter Look-up'!$C:$C,MATCH($A76,'Smelter Look-up'!$E:$E,0)))</f>
        <v>Navoi Mining and Metallurgical Combinat</v>
      </c>
      <c r="D76" s="283"/>
      <c r="E76" s="217" t="str">
        <f ca="1">IF(ISERROR($V76),"",OFFSET('Smelter Look-up'!$D$4,$V76-4,0)&amp;"")</f>
        <v>UZBEKISTAN</v>
      </c>
      <c r="F76" s="217" t="str">
        <f ca="1">IF(ISERROR($V76),"",OFFSET('Smelter Look-up'!$E$4,$V76-4,0))</f>
        <v>CID001236</v>
      </c>
      <c r="G76" s="217" t="str">
        <f ca="1">IF(C76=$X$4,"Enter smelter details",IF(ISERROR($V76),"",OFFSET('Smelter Look-up'!$F$4,$V76-4,0)))</f>
        <v>RMI</v>
      </c>
      <c r="H76" s="218">
        <f ca="1">IF(ISERROR($V76),"",OFFSET('Smelter Look-up'!$G$4,$V76-4,0))</f>
        <v>0</v>
      </c>
      <c r="I76" s="219" t="str">
        <f ca="1">IF(ISERROR($V76),"",OFFSET('Smelter Look-up'!$H$4,$V76-4,0))</f>
        <v>Navoi</v>
      </c>
      <c r="J76" s="219" t="str">
        <f ca="1">IF(ISERROR($V76),"",OFFSET('Smelter Look-up'!$I$4,$V76-4,0))</f>
        <v>Navoiy</v>
      </c>
      <c r="K76" s="273"/>
      <c r="L76" s="273"/>
      <c r="M76" s="273"/>
      <c r="N76" s="273"/>
      <c r="O76" s="273"/>
      <c r="P76" s="220"/>
      <c r="Q76" s="274"/>
      <c r="R76" s="217" t="str">
        <f ca="1">IF(ISERROR($V76),"",OFFSET('Smelter Look-up'!$C$4,$V76-4,0)&amp;"")</f>
        <v>Navoi Mining and Metallurgical Combinat</v>
      </c>
      <c r="S76" s="225" t="str">
        <f t="shared" ca="1" si="12"/>
        <v>UZ</v>
      </c>
      <c r="T76" s="225" t="str">
        <f ca="1">IF(B76="","",IF(ISERROR(MATCH($J76,SorP!$B$1:$B$6230,0)),"",INDIRECT("'SorP'!$A$"&amp;MATCH($J76,SorP!$B$1:$B$6230,0))))</f>
        <v>UZ-NW</v>
      </c>
      <c r="U76" s="241"/>
      <c r="V76" s="275">
        <f ca="1">IF(C76="",NA(),MATCH($B76&amp;$C76,'Smelter Look-up'!$J:$J,0))</f>
        <v>173</v>
      </c>
      <c r="W76" s="276"/>
      <c r="X76" s="276">
        <f t="shared" ca="1" si="13"/>
        <v>0</v>
      </c>
      <c r="Y76" s="276"/>
      <c r="Z76" s="276"/>
      <c r="AB76" s="278" t="str">
        <f t="shared" ca="1" si="14"/>
        <v>GoldNavoi Mining and Metallurgical Combinat</v>
      </c>
    </row>
    <row r="77" spans="1:28" s="277" customFormat="1" ht="89.25">
      <c r="A77" s="216" t="s">
        <v>732</v>
      </c>
      <c r="B77" s="217" t="str">
        <f ca="1">IF(LEN(A77)=0,"",INDEX('Smelter Look-up'!$A:$A,MATCH($A77,'Smelter Look-up'!$E:$E,0)))</f>
        <v>Gold</v>
      </c>
      <c r="C77" s="221" t="str">
        <f ca="1">IF(LEN(A77)=0,"",INDEX('Smelter Look-up'!$C:$C,MATCH($A77,'Smelter Look-up'!$E:$E,0)))</f>
        <v>Ohura Precious Metal Industry Co., Ltd.</v>
      </c>
      <c r="D77" s="283"/>
      <c r="E77" s="217" t="str">
        <f ca="1">IF(ISERROR($V77),"",OFFSET('Smelter Look-up'!$D$4,$V77-4,0)&amp;"")</f>
        <v>JAPAN</v>
      </c>
      <c r="F77" s="217" t="str">
        <f ca="1">IF(ISERROR($V77),"",OFFSET('Smelter Look-up'!$E$4,$V77-4,0))</f>
        <v>CID001325</v>
      </c>
      <c r="G77" s="217" t="str">
        <f ca="1">IF(C77=$X$4,"Enter smelter details",IF(ISERROR($V77),"",OFFSET('Smelter Look-up'!$F$4,$V77-4,0)))</f>
        <v>RMI</v>
      </c>
      <c r="H77" s="218">
        <f ca="1">IF(ISERROR($V77),"",OFFSET('Smelter Look-up'!$G$4,$V77-4,0))</f>
        <v>0</v>
      </c>
      <c r="I77" s="219" t="str">
        <f ca="1">IF(ISERROR($V77),"",OFFSET('Smelter Look-up'!$H$4,$V77-4,0))</f>
        <v>Nara-shi</v>
      </c>
      <c r="J77" s="219" t="str">
        <f ca="1">IF(ISERROR($V77),"",OFFSET('Smelter Look-up'!$I$4,$V77-4,0))</f>
        <v>Nara</v>
      </c>
      <c r="K77" s="273"/>
      <c r="L77" s="273"/>
      <c r="M77" s="273"/>
      <c r="N77" s="273"/>
      <c r="O77" s="273"/>
      <c r="P77" s="220"/>
      <c r="Q77" s="274"/>
      <c r="R77" s="217" t="str">
        <f ca="1">IF(ISERROR($V77),"",OFFSET('Smelter Look-up'!$C$4,$V77-4,0)&amp;"")</f>
        <v>Ohura Precious Metal Industry Co., Ltd.</v>
      </c>
      <c r="S77" s="225" t="str">
        <f t="shared" ca="1" si="12"/>
        <v>JP</v>
      </c>
      <c r="T77" s="225" t="str">
        <f ca="1">IF(B77="","",IF(ISERROR(MATCH($J77,SorP!$B$1:$B$6230,0)),"",INDIRECT("'SorP'!$A$"&amp;MATCH($J77,SorP!$B$1:$B$6230,0))))</f>
        <v>JP-29</v>
      </c>
      <c r="U77" s="241"/>
      <c r="V77" s="275">
        <f ca="1">IF(C77="",NA(),MATCH($B77&amp;$C77,'Smelter Look-up'!$J:$J,0))</f>
        <v>180</v>
      </c>
      <c r="W77" s="276"/>
      <c r="X77" s="276">
        <f t="shared" ca="1" si="13"/>
        <v>0</v>
      </c>
      <c r="Y77" s="276"/>
      <c r="Z77" s="276"/>
      <c r="AB77" s="278" t="str">
        <f t="shared" ca="1" si="14"/>
        <v>GoldOhura Precious Metal Industry Co., Ltd.</v>
      </c>
    </row>
    <row r="78" spans="1:28" s="277" customFormat="1" ht="153">
      <c r="A78" s="216" t="s">
        <v>733</v>
      </c>
      <c r="B78" s="217" t="str">
        <f ca="1">IF(LEN(A78)=0,"",INDEX('Smelter Look-up'!$A:$A,MATCH($A78,'Smelter Look-up'!$E:$E,0)))</f>
        <v>Gold</v>
      </c>
      <c r="C78" s="221" t="str">
        <f ca="1">IF(LEN(A78)=0,"",INDEX('Smelter Look-up'!$C:$C,MATCH($A78,'Smelter Look-up'!$E:$E,0)))</f>
        <v>OJSC "The Gulidov Krasnoyarsk Non-Ferrous Metals Plant" (OJSC Krastsvetmet)</v>
      </c>
      <c r="D78" s="283"/>
      <c r="E78" s="217" t="str">
        <f ca="1">IF(ISERROR($V78),"",OFFSET('Smelter Look-up'!$D$4,$V78-4,0)&amp;"")</f>
        <v>RUSSIAN FEDERATION</v>
      </c>
      <c r="F78" s="217" t="str">
        <f ca="1">IF(ISERROR($V78),"",OFFSET('Smelter Look-up'!$E$4,$V78-4,0))</f>
        <v>CID001326</v>
      </c>
      <c r="G78" s="217" t="str">
        <f ca="1">IF(C78=$X$4,"Enter smelter details",IF(ISERROR($V78),"",OFFSET('Smelter Look-up'!$F$4,$V78-4,0)))</f>
        <v>RMI</v>
      </c>
      <c r="H78" s="218">
        <f ca="1">IF(ISERROR($V78),"",OFFSET('Smelter Look-up'!$G$4,$V78-4,0))</f>
        <v>0</v>
      </c>
      <c r="I78" s="219" t="str">
        <f ca="1">IF(ISERROR($V78),"",OFFSET('Smelter Look-up'!$H$4,$V78-4,0))</f>
        <v>Krasnoyarsk</v>
      </c>
      <c r="J78" s="219" t="str">
        <f ca="1">IF(ISERROR($V78),"",OFFSET('Smelter Look-up'!$I$4,$V78-4,0))</f>
        <v>Krasnoyarskiy kray</v>
      </c>
      <c r="K78" s="273"/>
      <c r="L78" s="273"/>
      <c r="M78" s="273"/>
      <c r="N78" s="273"/>
      <c r="O78" s="273"/>
      <c r="P78" s="220"/>
      <c r="Q78" s="274"/>
      <c r="R78" s="217" t="str">
        <f ca="1">IF(ISERROR($V78),"",OFFSET('Smelter Look-up'!$C$4,$V78-4,0)&amp;"")</f>
        <v>OJSC "The Gulidov Krasnoyarsk Non-Ferrous Metals Plant" (OJSC Krastsvetmet)</v>
      </c>
      <c r="S78" s="225" t="str">
        <f t="shared" ca="1" si="12"/>
        <v>RU</v>
      </c>
      <c r="T78" s="225" t="str">
        <f ca="1">IF(B78="","",IF(ISERROR(MATCH($J78,SorP!$B$1:$B$6230,0)),"",INDIRECT("'SorP'!$A$"&amp;MATCH($J78,SorP!$B$1:$B$6230,0))))</f>
        <v>RU-KYA</v>
      </c>
      <c r="U78" s="241"/>
      <c r="V78" s="275">
        <f ca="1">IF(C78="",NA(),MATCH($B78&amp;$C78,'Smelter Look-up'!$J:$J,0))</f>
        <v>181</v>
      </c>
      <c r="W78" s="276"/>
      <c r="X78" s="276">
        <f t="shared" ca="1" si="13"/>
        <v>0</v>
      </c>
      <c r="Y78" s="276"/>
      <c r="Z78" s="276"/>
      <c r="AB78" s="278" t="str">
        <f t="shared" ca="1" si="14"/>
        <v>GoldOJSC "The Gulidov Krasnoyarsk Non-Ferrous Metals Plant" (OJSC Krastsvetmet)</v>
      </c>
    </row>
    <row r="79" spans="1:28" s="277" customFormat="1" ht="63.75">
      <c r="A79" s="216" t="s">
        <v>690</v>
      </c>
      <c r="B79" s="217" t="str">
        <f ca="1">IF(LEN(A79)=0,"",INDEX('Smelter Look-up'!$A:$A,MATCH($A79,'Smelter Look-up'!$E:$E,0)))</f>
        <v>Gold</v>
      </c>
      <c r="C79" s="221" t="str">
        <f ca="1">IF(LEN(A79)=0,"",INDEX('Smelter Look-up'!$C:$C,MATCH($A79,'Smelter Look-up'!$E:$E,0)))</f>
        <v>OJSC Novosibirsk Refinery</v>
      </c>
      <c r="D79" s="283"/>
      <c r="E79" s="217" t="str">
        <f ca="1">IF(ISERROR($V79),"",OFFSET('Smelter Look-up'!$D$4,$V79-4,0)&amp;"")</f>
        <v>RUSSIAN FEDERATION</v>
      </c>
      <c r="F79" s="217" t="str">
        <f ca="1">IF(ISERROR($V79),"",OFFSET('Smelter Look-up'!$E$4,$V79-4,0))</f>
        <v>CID000493</v>
      </c>
      <c r="G79" s="217" t="str">
        <f ca="1">IF(C79=$X$4,"Enter smelter details",IF(ISERROR($V79),"",OFFSET('Smelter Look-up'!$F$4,$V79-4,0)))</f>
        <v>RMI</v>
      </c>
      <c r="H79" s="218">
        <f ca="1">IF(ISERROR($V79),"",OFFSET('Smelter Look-up'!$G$4,$V79-4,0))</f>
        <v>0</v>
      </c>
      <c r="I79" s="219" t="str">
        <f ca="1">IF(ISERROR($V79),"",OFFSET('Smelter Look-up'!$H$4,$V79-4,0))</f>
        <v>Novosibirsk</v>
      </c>
      <c r="J79" s="219" t="str">
        <f ca="1">IF(ISERROR($V79),"",OFFSET('Smelter Look-up'!$I$4,$V79-4,0))</f>
        <v>Novosibirskaya oblast'</v>
      </c>
      <c r="K79" s="273"/>
      <c r="L79" s="273"/>
      <c r="M79" s="273"/>
      <c r="N79" s="273"/>
      <c r="O79" s="273"/>
      <c r="P79" s="220"/>
      <c r="Q79" s="274"/>
      <c r="R79" s="217" t="str">
        <f ca="1">IF(ISERROR($V79),"",OFFSET('Smelter Look-up'!$C$4,$V79-4,0)&amp;"")</f>
        <v>OJSC Novosibirsk Refinery</v>
      </c>
      <c r="S79" s="225" t="str">
        <f t="shared" ca="1" si="12"/>
        <v>RU</v>
      </c>
      <c r="T79" s="225" t="str">
        <f ca="1">IF(B79="","",IF(ISERROR(MATCH($J79,SorP!$B$1:$B$6230,0)),"",INDIRECT("'SorP'!$A$"&amp;MATCH($J79,SorP!$B$1:$B$6230,0))))</f>
        <v>RU-NVS</v>
      </c>
      <c r="U79" s="241"/>
      <c r="V79" s="275">
        <f ca="1">IF(C79="",NA(),MATCH($B79&amp;$C79,'Smelter Look-up'!$J:$J,0))</f>
        <v>183</v>
      </c>
      <c r="W79" s="276"/>
      <c r="X79" s="276">
        <f t="shared" ca="1" si="13"/>
        <v>0</v>
      </c>
      <c r="Y79" s="276"/>
      <c r="Z79" s="276"/>
      <c r="AB79" s="278" t="str">
        <f t="shared" ca="1" si="14"/>
        <v>GoldOJSC Novosibirsk Refinery</v>
      </c>
    </row>
    <row r="80" spans="1:28" s="277" customFormat="1" ht="76.5">
      <c r="A80" s="216" t="s">
        <v>736</v>
      </c>
      <c r="B80" s="217" t="str">
        <f ca="1">IF(LEN(A80)=0,"",INDEX('Smelter Look-up'!$A:$A,MATCH($A80,'Smelter Look-up'!$E:$E,0)))</f>
        <v>Gold</v>
      </c>
      <c r="C80" s="221" t="str">
        <f ca="1">IF(LEN(A80)=0,"",INDEX('Smelter Look-up'!$C:$C,MATCH($A80,'Smelter Look-up'!$E:$E,0)))</f>
        <v>Prioksky Plant of Non-Ferrous Metals</v>
      </c>
      <c r="D80" s="283"/>
      <c r="E80" s="217" t="str">
        <f ca="1">IF(ISERROR($V80),"",OFFSET('Smelter Look-up'!$D$4,$V80-4,0)&amp;"")</f>
        <v>RUSSIAN FEDERATION</v>
      </c>
      <c r="F80" s="217" t="str">
        <f ca="1">IF(ISERROR($V80),"",OFFSET('Smelter Look-up'!$E$4,$V80-4,0))</f>
        <v>CID001386</v>
      </c>
      <c r="G80" s="217" t="str">
        <f ca="1">IF(C80=$X$4,"Enter smelter details",IF(ISERROR($V80),"",OFFSET('Smelter Look-up'!$F$4,$V80-4,0)))</f>
        <v>RMI</v>
      </c>
      <c r="H80" s="218">
        <f ca="1">IF(ISERROR($V80),"",OFFSET('Smelter Look-up'!$G$4,$V80-4,0))</f>
        <v>0</v>
      </c>
      <c r="I80" s="219" t="str">
        <f ca="1">IF(ISERROR($V80),"",OFFSET('Smelter Look-up'!$H$4,$V80-4,0))</f>
        <v>Kasimov</v>
      </c>
      <c r="J80" s="219" t="str">
        <f ca="1">IF(ISERROR($V80),"",OFFSET('Smelter Look-up'!$I$4,$V80-4,0))</f>
        <v>Ryazanskaya oblast'</v>
      </c>
      <c r="K80" s="273"/>
      <c r="L80" s="273"/>
      <c r="M80" s="273"/>
      <c r="N80" s="273"/>
      <c r="O80" s="273"/>
      <c r="P80" s="220"/>
      <c r="Q80" s="274"/>
      <c r="R80" s="217" t="str">
        <f ca="1">IF(ISERROR($V80),"",OFFSET('Smelter Look-up'!$C$4,$V80-4,0)&amp;"")</f>
        <v>Prioksky Plant of Non-Ferrous Metals</v>
      </c>
      <c r="S80" s="225" t="str">
        <f t="shared" ca="1" si="12"/>
        <v>RU</v>
      </c>
      <c r="T80" s="225" t="str">
        <f ca="1">IF(B80="","",IF(ISERROR(MATCH($J80,SorP!$B$1:$B$6230,0)),"",INDIRECT("'SorP'!$A$"&amp;MATCH($J80,SorP!$B$1:$B$6230,0))))</f>
        <v>RU-RYA</v>
      </c>
      <c r="U80" s="241"/>
      <c r="V80" s="275">
        <f ca="1">IF(C80="",NA(),MATCH($B80&amp;$C80,'Smelter Look-up'!$J:$J,0))</f>
        <v>191</v>
      </c>
      <c r="W80" s="276"/>
      <c r="X80" s="276">
        <f t="shared" ca="1" si="13"/>
        <v>0</v>
      </c>
      <c r="Y80" s="276"/>
      <c r="Z80" s="276"/>
      <c r="AB80" s="278" t="str">
        <f t="shared" ca="1" si="14"/>
        <v>GoldPrioksky Plant of Non-Ferrous Metals</v>
      </c>
    </row>
    <row r="81" spans="1:28" s="277" customFormat="1" ht="76.5">
      <c r="A81" s="216" t="s">
        <v>737</v>
      </c>
      <c r="B81" s="217" t="str">
        <f ca="1">IF(LEN(A81)=0,"",INDEX('Smelter Look-up'!$A:$A,MATCH($A81,'Smelter Look-up'!$E:$E,0)))</f>
        <v>Gold</v>
      </c>
      <c r="C81" s="221" t="str">
        <f ca="1">IF(LEN(A81)=0,"",INDEX('Smelter Look-up'!$C:$C,MATCH($A81,'Smelter Look-up'!$E:$E,0)))</f>
        <v>PT Aneka Tambang (Persero) Tbk</v>
      </c>
      <c r="D81" s="283"/>
      <c r="E81" s="217" t="str">
        <f ca="1">IF(ISERROR($V81),"",OFFSET('Smelter Look-up'!$D$4,$V81-4,0)&amp;"")</f>
        <v>INDONESIA</v>
      </c>
      <c r="F81" s="217" t="str">
        <f ca="1">IF(ISERROR($V81),"",OFFSET('Smelter Look-up'!$E$4,$V81-4,0))</f>
        <v>CID001397</v>
      </c>
      <c r="G81" s="217" t="str">
        <f ca="1">IF(C81=$X$4,"Enter smelter details",IF(ISERROR($V81),"",OFFSET('Smelter Look-up'!$F$4,$V81-4,0)))</f>
        <v>RMI</v>
      </c>
      <c r="H81" s="218">
        <f ca="1">IF(ISERROR($V81),"",OFFSET('Smelter Look-up'!$G$4,$V81-4,0))</f>
        <v>0</v>
      </c>
      <c r="I81" s="219" t="str">
        <f ca="1">IF(ISERROR($V81),"",OFFSET('Smelter Look-up'!$H$4,$V81-4,0))</f>
        <v>Jakarta</v>
      </c>
      <c r="J81" s="219" t="str">
        <f ca="1">IF(ISERROR($V81),"",OFFSET('Smelter Look-up'!$I$4,$V81-4,0))</f>
        <v>Jakarta Raya</v>
      </c>
      <c r="K81" s="273"/>
      <c r="L81" s="273"/>
      <c r="M81" s="273"/>
      <c r="N81" s="273"/>
      <c r="O81" s="273"/>
      <c r="P81" s="220"/>
      <c r="Q81" s="274"/>
      <c r="R81" s="217" t="str">
        <f ca="1">IF(ISERROR($V81),"",OFFSET('Smelter Look-up'!$C$4,$V81-4,0)&amp;"")</f>
        <v>PT Aneka Tambang (Persero) Tbk</v>
      </c>
      <c r="S81" s="225" t="str">
        <f t="shared" ca="1" si="12"/>
        <v>ID</v>
      </c>
      <c r="T81" s="225" t="str">
        <f ca="1">IF(B81="","",IF(ISERROR(MATCH($J81,SorP!$B$1:$B$6230,0)),"",INDIRECT("'SorP'!$A$"&amp;MATCH($J81,SorP!$B$1:$B$6230,0))))</f>
        <v>ID-JK</v>
      </c>
      <c r="U81" s="241"/>
      <c r="V81" s="275">
        <f ca="1">IF(C81="",NA(),MATCH($B81&amp;$C81,'Smelter Look-up'!$J:$J,0))</f>
        <v>193</v>
      </c>
      <c r="W81" s="276"/>
      <c r="X81" s="276">
        <f t="shared" ca="1" si="13"/>
        <v>0</v>
      </c>
      <c r="Y81" s="276"/>
      <c r="Z81" s="276"/>
      <c r="AB81" s="278" t="str">
        <f t="shared" ca="1" si="14"/>
        <v>GoldPT Aneka Tambang (Persero) Tbk</v>
      </c>
    </row>
    <row r="82" spans="1:28" s="277" customFormat="1" ht="38.25">
      <c r="A82" s="216" t="s">
        <v>738</v>
      </c>
      <c r="B82" s="217" t="str">
        <f ca="1">IF(LEN(A82)=0,"",INDEX('Smelter Look-up'!$A:$A,MATCH($A82,'Smelter Look-up'!$E:$E,0)))</f>
        <v>Gold</v>
      </c>
      <c r="C82" s="221" t="str">
        <f ca="1">IF(LEN(A82)=0,"",INDEX('Smelter Look-up'!$C:$C,MATCH($A82,'Smelter Look-up'!$E:$E,0)))</f>
        <v>PX Precinox S.A.</v>
      </c>
      <c r="D82" s="283"/>
      <c r="E82" s="217" t="str">
        <f ca="1">IF(ISERROR($V82),"",OFFSET('Smelter Look-up'!$D$4,$V82-4,0)&amp;"")</f>
        <v>SWITZERLAND</v>
      </c>
      <c r="F82" s="217" t="str">
        <f ca="1">IF(ISERROR($V82),"",OFFSET('Smelter Look-up'!$E$4,$V82-4,0))</f>
        <v>CID001498</v>
      </c>
      <c r="G82" s="217" t="str">
        <f ca="1">IF(C82=$X$4,"Enter smelter details",IF(ISERROR($V82),"",OFFSET('Smelter Look-up'!$F$4,$V82-4,0)))</f>
        <v>RMI</v>
      </c>
      <c r="H82" s="218">
        <f ca="1">IF(ISERROR($V82),"",OFFSET('Smelter Look-up'!$G$4,$V82-4,0))</f>
        <v>0</v>
      </c>
      <c r="I82" s="219" t="str">
        <f ca="1">IF(ISERROR($V82),"",OFFSET('Smelter Look-up'!$H$4,$V82-4,0))</f>
        <v>La Chaux-de-Fonds</v>
      </c>
      <c r="J82" s="219" t="str">
        <f ca="1">IF(ISERROR($V82),"",OFFSET('Smelter Look-up'!$I$4,$V82-4,0))</f>
        <v>Neuchâtel</v>
      </c>
      <c r="K82" s="273"/>
      <c r="L82" s="273"/>
      <c r="M82" s="273"/>
      <c r="N82" s="273"/>
      <c r="O82" s="273"/>
      <c r="P82" s="220"/>
      <c r="Q82" s="274"/>
      <c r="R82" s="217" t="str">
        <f ca="1">IF(ISERROR($V82),"",OFFSET('Smelter Look-up'!$C$4,$V82-4,0)&amp;"")</f>
        <v>PX Precinox S.A.</v>
      </c>
      <c r="S82" s="225" t="str">
        <f t="shared" ca="1" si="12"/>
        <v>CH</v>
      </c>
      <c r="T82" s="225" t="str">
        <f ca="1">IF(B82="","",IF(ISERROR(MATCH($J82,SorP!$B$1:$B$6230,0)),"",INDIRECT("'SorP'!$A$"&amp;MATCH($J82,SorP!$B$1:$B$6230,0))))</f>
        <v>CH-NE</v>
      </c>
      <c r="U82" s="241"/>
      <c r="V82" s="275">
        <f ca="1">IF(C82="",NA(),MATCH($B82&amp;$C82,'Smelter Look-up'!$J:$J,0))</f>
        <v>194</v>
      </c>
      <c r="W82" s="276"/>
      <c r="X82" s="276">
        <f t="shared" ca="1" si="13"/>
        <v>0</v>
      </c>
      <c r="Y82" s="276"/>
      <c r="Z82" s="276"/>
      <c r="AB82" s="278" t="str">
        <f t="shared" ca="1" si="14"/>
        <v>GoldPX Precinox S.A.</v>
      </c>
    </row>
    <row r="83" spans="1:28" s="277" customFormat="1" ht="63.75">
      <c r="A83" s="216" t="s">
        <v>739</v>
      </c>
      <c r="B83" s="217" t="str">
        <f ca="1">IF(LEN(A83)=0,"",INDEX('Smelter Look-up'!$A:$A,MATCH($A83,'Smelter Look-up'!$E:$E,0)))</f>
        <v>Gold</v>
      </c>
      <c r="C83" s="221" t="str">
        <f ca="1">IF(LEN(A83)=0,"",INDEX('Smelter Look-up'!$C:$C,MATCH($A83,'Smelter Look-up'!$E:$E,0)))</f>
        <v>Rand Refinery (Pty) Ltd.</v>
      </c>
      <c r="D83" s="283"/>
      <c r="E83" s="217" t="str">
        <f ca="1">IF(ISERROR($V83),"",OFFSET('Smelter Look-up'!$D$4,$V83-4,0)&amp;"")</f>
        <v>SOUTH AFRICA</v>
      </c>
      <c r="F83" s="217" t="str">
        <f ca="1">IF(ISERROR($V83),"",OFFSET('Smelter Look-up'!$E$4,$V83-4,0))</f>
        <v>CID001512</v>
      </c>
      <c r="G83" s="217" t="str">
        <f ca="1">IF(C83=$X$4,"Enter smelter details",IF(ISERROR($V83),"",OFFSET('Smelter Look-up'!$F$4,$V83-4,0)))</f>
        <v>RMI</v>
      </c>
      <c r="H83" s="218">
        <f ca="1">IF(ISERROR($V83),"",OFFSET('Smelter Look-up'!$G$4,$V83-4,0))</f>
        <v>0</v>
      </c>
      <c r="I83" s="219" t="str">
        <f ca="1">IF(ISERROR($V83),"",OFFSET('Smelter Look-up'!$H$4,$V83-4,0))</f>
        <v>Germiston</v>
      </c>
      <c r="J83" s="219" t="str">
        <f ca="1">IF(ISERROR($V83),"",OFFSET('Smelter Look-up'!$I$4,$V83-4,0))</f>
        <v>Gauteng</v>
      </c>
      <c r="K83" s="273"/>
      <c r="L83" s="273"/>
      <c r="M83" s="273"/>
      <c r="N83" s="273"/>
      <c r="O83" s="273"/>
      <c r="P83" s="220"/>
      <c r="Q83" s="274"/>
      <c r="R83" s="217" t="str">
        <f ca="1">IF(ISERROR($V83),"",OFFSET('Smelter Look-up'!$C$4,$V83-4,0)&amp;"")</f>
        <v>Rand Refinery (Pty) Ltd.</v>
      </c>
      <c r="S83" s="225" t="str">
        <f t="shared" ca="1" si="12"/>
        <v>ZA</v>
      </c>
      <c r="T83" s="225" t="str">
        <f ca="1">IF(B83="","",IF(ISERROR(MATCH($J83,SorP!$B$1:$B$6230,0)),"",INDIRECT("'SorP'!$A$"&amp;MATCH($J83,SorP!$B$1:$B$6230,0))))</f>
        <v>ZA-GT</v>
      </c>
      <c r="U83" s="241"/>
      <c r="V83" s="275">
        <f ca="1">IF(C83="",NA(),MATCH($B83&amp;$C83,'Smelter Look-up'!$J:$J,0))</f>
        <v>197</v>
      </c>
      <c r="W83" s="276"/>
      <c r="X83" s="276">
        <f t="shared" ca="1" si="13"/>
        <v>0</v>
      </c>
      <c r="Y83" s="276"/>
      <c r="Z83" s="276"/>
      <c r="AB83" s="278" t="str">
        <f t="shared" ca="1" si="14"/>
        <v>GoldRand Refinery (Pty) Ltd.</v>
      </c>
    </row>
    <row r="84" spans="1:28" s="277" customFormat="1" ht="51">
      <c r="A84" s="216" t="s">
        <v>2442</v>
      </c>
      <c r="B84" s="217" t="str">
        <f ca="1">IF(LEN(A84)=0,"",INDEX('Smelter Look-up'!$A:$A,MATCH($A84,'Smelter Look-up'!$E:$E,0)))</f>
        <v>Gold</v>
      </c>
      <c r="C84" s="221" t="str">
        <f ca="1">IF(LEN(A84)=0,"",INDEX('Smelter Look-up'!$C:$C,MATCH($A84,'Smelter Look-up'!$E:$E,0)))</f>
        <v>REMONDIS PMR B.V.</v>
      </c>
      <c r="D84" s="283"/>
      <c r="E84" s="217" t="str">
        <f ca="1">IF(ISERROR($V84),"",OFFSET('Smelter Look-up'!$D$4,$V84-4,0)&amp;"")</f>
        <v>NETHERLANDS</v>
      </c>
      <c r="F84" s="217" t="str">
        <f ca="1">IF(ISERROR($V84),"",OFFSET('Smelter Look-up'!$E$4,$V84-4,0))</f>
        <v>CID002582</v>
      </c>
      <c r="G84" s="217" t="str">
        <f ca="1">IF(C84=$X$4,"Enter smelter details",IF(ISERROR($V84),"",OFFSET('Smelter Look-up'!$F$4,$V84-4,0)))</f>
        <v>RMI</v>
      </c>
      <c r="H84" s="218">
        <f ca="1">IF(ISERROR($V84),"",OFFSET('Smelter Look-up'!$G$4,$V84-4,0))</f>
        <v>0</v>
      </c>
      <c r="I84" s="219" t="str">
        <f ca="1">IF(ISERROR($V84),"",OFFSET('Smelter Look-up'!$H$4,$V84-4,0))</f>
        <v>Moerdijk</v>
      </c>
      <c r="J84" s="219" t="str">
        <f ca="1">IF(ISERROR($V84),"",OFFSET('Smelter Look-up'!$I$4,$V84-4,0))</f>
        <v>Noord-Brabant</v>
      </c>
      <c r="K84" s="273"/>
      <c r="L84" s="273"/>
      <c r="M84" s="273"/>
      <c r="N84" s="273"/>
      <c r="O84" s="273"/>
      <c r="P84" s="220"/>
      <c r="Q84" s="274"/>
      <c r="R84" s="217" t="str">
        <f ca="1">IF(ISERROR($V84),"",OFFSET('Smelter Look-up'!$C$4,$V84-4,0)&amp;"")</f>
        <v>REMONDIS PMR B.V.</v>
      </c>
      <c r="S84" s="225" t="str">
        <f t="shared" ca="1" si="12"/>
        <v>NL</v>
      </c>
      <c r="T84" s="225" t="str">
        <f ca="1">IF(B84="","",IF(ISERROR(MATCH($J84,SorP!$B$1:$B$6230,0)),"",INDIRECT("'SorP'!$A$"&amp;MATCH($J84,SorP!$B$1:$B$6230,0))))</f>
        <v>NL-NB</v>
      </c>
      <c r="U84" s="241"/>
      <c r="V84" s="275">
        <f ca="1">IF(C84="",NA(),MATCH($B84&amp;$C84,'Smelter Look-up'!$J:$J,0))</f>
        <v>201</v>
      </c>
      <c r="W84" s="276"/>
      <c r="X84" s="276">
        <f t="shared" ca="1" si="13"/>
        <v>0</v>
      </c>
      <c r="Y84" s="276"/>
      <c r="Z84" s="276"/>
      <c r="AB84" s="278" t="str">
        <f t="shared" ca="1" si="14"/>
        <v>GoldREMONDIS PMR B.V.</v>
      </c>
    </row>
    <row r="85" spans="1:28" s="277" customFormat="1" ht="25.5">
      <c r="A85" s="216" t="s">
        <v>2371</v>
      </c>
      <c r="B85" s="217" t="str">
        <f ca="1">IF(LEN(A85)=0,"",INDEX('Smelter Look-up'!$A:$A,MATCH($A85,'Smelter Look-up'!$E:$E,0)))</f>
        <v>Gold</v>
      </c>
      <c r="C85" s="221" t="str">
        <f ca="1">IF(LEN(A85)=0,"",INDEX('Smelter Look-up'!$C:$C,MATCH($A85,'Smelter Look-up'!$E:$E,0)))</f>
        <v>SAAMP</v>
      </c>
      <c r="D85" s="283"/>
      <c r="E85" s="217" t="str">
        <f ca="1">IF(ISERROR($V85),"",OFFSET('Smelter Look-up'!$D$4,$V85-4,0)&amp;"")</f>
        <v>FRANCE</v>
      </c>
      <c r="F85" s="217" t="str">
        <f ca="1">IF(ISERROR($V85),"",OFFSET('Smelter Look-up'!$E$4,$V85-4,0))</f>
        <v>CID002761</v>
      </c>
      <c r="G85" s="217" t="str">
        <f ca="1">IF(C85=$X$4,"Enter smelter details",IF(ISERROR($V85),"",OFFSET('Smelter Look-up'!$F$4,$V85-4,0)))</f>
        <v>RMI</v>
      </c>
      <c r="H85" s="218">
        <f ca="1">IF(ISERROR($V85),"",OFFSET('Smelter Look-up'!$G$4,$V85-4,0))</f>
        <v>0</v>
      </c>
      <c r="I85" s="219" t="str">
        <f ca="1">IF(ISERROR($V85),"",OFFSET('Smelter Look-up'!$H$4,$V85-4,0))</f>
        <v>Paris</v>
      </c>
      <c r="J85" s="219" t="str">
        <f ca="1">IF(ISERROR($V85),"",OFFSET('Smelter Look-up'!$I$4,$V85-4,0))</f>
        <v>Île-de-France</v>
      </c>
      <c r="K85" s="273"/>
      <c r="L85" s="273"/>
      <c r="M85" s="273"/>
      <c r="N85" s="273"/>
      <c r="O85" s="273"/>
      <c r="P85" s="220"/>
      <c r="Q85" s="274"/>
      <c r="R85" s="217" t="str">
        <f ca="1">IF(ISERROR($V85),"",OFFSET('Smelter Look-up'!$C$4,$V85-4,0)&amp;"")</f>
        <v>SAAMP</v>
      </c>
      <c r="S85" s="225" t="str">
        <f t="shared" ca="1" si="12"/>
        <v>FR</v>
      </c>
      <c r="T85" s="225" t="str">
        <f ca="1">IF(B85="","",IF(ISERROR(MATCH($J85,SorP!$B$1:$B$6230,0)),"",INDIRECT("'SorP'!$A$"&amp;MATCH($J85,SorP!$B$1:$B$6230,0))))</f>
        <v>FR-IDF</v>
      </c>
      <c r="U85" s="241"/>
      <c r="V85" s="275">
        <f ca="1">IF(C85="",NA(),MATCH($B85&amp;$C85,'Smelter Look-up'!$J:$J,0))</f>
        <v>203</v>
      </c>
      <c r="W85" s="276"/>
      <c r="X85" s="276">
        <f t="shared" ca="1" si="13"/>
        <v>0</v>
      </c>
      <c r="Y85" s="276"/>
      <c r="Z85" s="276"/>
      <c r="AB85" s="278" t="str">
        <f t="shared" ca="1" si="14"/>
        <v>GoldSAAMP</v>
      </c>
    </row>
    <row r="86" spans="1:28" s="277" customFormat="1" ht="51">
      <c r="A86" s="216" t="s">
        <v>1432</v>
      </c>
      <c r="B86" s="217" t="str">
        <f ca="1">IF(LEN(A86)=0,"",INDEX('Smelter Look-up'!$A:$A,MATCH($A86,'Smelter Look-up'!$E:$E,0)))</f>
        <v>Gold</v>
      </c>
      <c r="C86" s="221" t="str">
        <f ca="1">IF(LEN(A86)=0,"",INDEX('Smelter Look-up'!$C:$C,MATCH($A86,'Smelter Look-up'!$E:$E,0)))</f>
        <v>Samduck Precious Metals</v>
      </c>
      <c r="D86" s="283"/>
      <c r="E86" s="217" t="str">
        <f ca="1">IF(ISERROR($V86),"",OFFSET('Smelter Look-up'!$D$4,$V86-4,0)&amp;"")</f>
        <v>KOREA, REPUBLIC OF</v>
      </c>
      <c r="F86" s="217" t="str">
        <f ca="1">IF(ISERROR($V86),"",OFFSET('Smelter Look-up'!$E$4,$V86-4,0))</f>
        <v>CID001555</v>
      </c>
      <c r="G86" s="217" t="str">
        <f ca="1">IF(C86=$X$4,"Enter smelter details",IF(ISERROR($V86),"",OFFSET('Smelter Look-up'!$F$4,$V86-4,0)))</f>
        <v>RMI</v>
      </c>
      <c r="H86" s="218">
        <f ca="1">IF(ISERROR($V86),"",OFFSET('Smelter Look-up'!$G$4,$V86-4,0))</f>
        <v>0</v>
      </c>
      <c r="I86" s="219" t="str">
        <f ca="1">IF(ISERROR($V86),"",OFFSET('Smelter Look-up'!$H$4,$V86-4,0))</f>
        <v>Namdong</v>
      </c>
      <c r="J86" s="219" t="str">
        <f ca="1">IF(ISERROR($V86),"",OFFSET('Smelter Look-up'!$I$4,$V86-4,0))</f>
        <v>Incheon-gwangyeoksi</v>
      </c>
      <c r="K86" s="273"/>
      <c r="L86" s="273"/>
      <c r="M86" s="273"/>
      <c r="N86" s="273"/>
      <c r="O86" s="273"/>
      <c r="P86" s="220"/>
      <c r="Q86" s="274"/>
      <c r="R86" s="217" t="str">
        <f ca="1">IF(ISERROR($V86),"",OFFSET('Smelter Look-up'!$C$4,$V86-4,0)&amp;"")</f>
        <v>Samduck Precious Metals</v>
      </c>
      <c r="S86" s="225" t="str">
        <f t="shared" ca="1" si="12"/>
        <v>KR</v>
      </c>
      <c r="T86" s="225" t="str">
        <f ca="1">IF(B86="","",IF(ISERROR(MATCH($J86,SorP!$B$1:$B$6230,0)),"",INDIRECT("'SorP'!$A$"&amp;MATCH($J86,SorP!$B$1:$B$6230,0))))</f>
        <v>KR-28</v>
      </c>
      <c r="U86" s="241"/>
      <c r="V86" s="275">
        <f ca="1">IF(C86="",NA(),MATCH($B86&amp;$C86,'Smelter Look-up'!$J:$J,0))</f>
        <v>210</v>
      </c>
      <c r="W86" s="276"/>
      <c r="X86" s="276">
        <f t="shared" ca="1" si="13"/>
        <v>0</v>
      </c>
      <c r="Y86" s="276"/>
      <c r="Z86" s="276"/>
      <c r="AB86" s="278" t="str">
        <f t="shared" ca="1" si="14"/>
        <v>GoldSamduck Precious Metals</v>
      </c>
    </row>
    <row r="87" spans="1:28" s="277" customFormat="1" ht="63.75">
      <c r="A87" s="216" t="s">
        <v>2314</v>
      </c>
      <c r="B87" s="217" t="str">
        <f ca="1">IF(LEN(A87)=0,"",INDEX('Smelter Look-up'!$A:$A,MATCH($A87,'Smelter Look-up'!$E:$E,0)))</f>
        <v>Gold</v>
      </c>
      <c r="C87" s="221" t="str">
        <f ca="1">IF(LEN(A87)=0,"",INDEX('Smelter Look-up'!$C:$C,MATCH($A87,'Smelter Look-up'!$E:$E,0)))</f>
        <v>SAXONIA Edelmetalle GmbH</v>
      </c>
      <c r="D87" s="283"/>
      <c r="E87" s="217" t="str">
        <f ca="1">IF(ISERROR($V87),"",OFFSET('Smelter Look-up'!$D$4,$V87-4,0)&amp;"")</f>
        <v>GERMANY</v>
      </c>
      <c r="F87" s="217" t="str">
        <f ca="1">IF(ISERROR($V87),"",OFFSET('Smelter Look-up'!$E$4,$V87-4,0))</f>
        <v>CID002777</v>
      </c>
      <c r="G87" s="217" t="str">
        <f ca="1">IF(C87=$X$4,"Enter smelter details",IF(ISERROR($V87),"",OFFSET('Smelter Look-up'!$F$4,$V87-4,0)))</f>
        <v>RMI</v>
      </c>
      <c r="H87" s="218">
        <f ca="1">IF(ISERROR($V87),"",OFFSET('Smelter Look-up'!$G$4,$V87-4,0))</f>
        <v>0</v>
      </c>
      <c r="I87" s="219" t="str">
        <f ca="1">IF(ISERROR($V87),"",OFFSET('Smelter Look-up'!$H$4,$V87-4,0))</f>
        <v>Halsbrücke</v>
      </c>
      <c r="J87" s="219" t="str">
        <f ca="1">IF(ISERROR($V87),"",OFFSET('Smelter Look-up'!$I$4,$V87-4,0))</f>
        <v>Sachsen</v>
      </c>
      <c r="K87" s="273"/>
      <c r="L87" s="273"/>
      <c r="M87" s="273"/>
      <c r="N87" s="273"/>
      <c r="O87" s="273"/>
      <c r="P87" s="220"/>
      <c r="Q87" s="274"/>
      <c r="R87" s="217" t="str">
        <f ca="1">IF(ISERROR($V87),"",OFFSET('Smelter Look-up'!$C$4,$V87-4,0)&amp;"")</f>
        <v>SAXONIA Edelmetalle GmbH</v>
      </c>
      <c r="S87" s="225" t="str">
        <f t="shared" ca="1" si="12"/>
        <v>DE</v>
      </c>
      <c r="T87" s="225" t="str">
        <f ca="1">IF(B87="","",IF(ISERROR(MATCH($J87,SorP!$B$1:$B$6230,0)),"",INDIRECT("'SorP'!$A$"&amp;MATCH($J87,SorP!$B$1:$B$6230,0))))</f>
        <v>DE-SN</v>
      </c>
      <c r="U87" s="241"/>
      <c r="V87" s="275">
        <f ca="1">IF(C87="",NA(),MATCH($B87&amp;$C87,'Smelter Look-up'!$J:$J,0))</f>
        <v>212</v>
      </c>
      <c r="W87" s="276"/>
      <c r="X87" s="276">
        <f t="shared" ca="1" si="13"/>
        <v>0</v>
      </c>
      <c r="Y87" s="276"/>
      <c r="Z87" s="276"/>
      <c r="AB87" s="278" t="str">
        <f t="shared" ca="1" si="14"/>
        <v>GoldSAXONIA Edelmetalle GmbH</v>
      </c>
    </row>
    <row r="88" spans="1:28" s="277" customFormat="1" ht="89.25">
      <c r="A88" s="216" t="s">
        <v>1415</v>
      </c>
      <c r="B88" s="217" t="str">
        <f ca="1">IF(LEN(A88)=0,"",INDEX('Smelter Look-up'!$A:$A,MATCH($A88,'Smelter Look-up'!$E:$E,0)))</f>
        <v>Gold</v>
      </c>
      <c r="C88" s="221" t="str">
        <f ca="1">IF(LEN(A88)=0,"",INDEX('Smelter Look-up'!$C:$C,MATCH($A88,'Smelter Look-up'!$E:$E,0)))</f>
        <v>Sichuan Tianze Precious Metals Co., Ltd.</v>
      </c>
      <c r="D88" s="283"/>
      <c r="E88" s="217" t="str">
        <f ca="1">IF(ISERROR($V88),"",OFFSET('Smelter Look-up'!$D$4,$V88-4,0)&amp;"")</f>
        <v>CHINA</v>
      </c>
      <c r="F88" s="217" t="str">
        <f ca="1">IF(ISERROR($V88),"",OFFSET('Smelter Look-up'!$E$4,$V88-4,0))</f>
        <v>CID001736</v>
      </c>
      <c r="G88" s="217" t="str">
        <f ca="1">IF(C88=$X$4,"Enter smelter details",IF(ISERROR($V88),"",OFFSET('Smelter Look-up'!$F$4,$V88-4,0)))</f>
        <v>RMI</v>
      </c>
      <c r="H88" s="218">
        <f ca="1">IF(ISERROR($V88),"",OFFSET('Smelter Look-up'!$G$4,$V88-4,0))</f>
        <v>0</v>
      </c>
      <c r="I88" s="219" t="str">
        <f ca="1">IF(ISERROR($V88),"",OFFSET('Smelter Look-up'!$H$4,$V88-4,0))</f>
        <v>Chengdu</v>
      </c>
      <c r="J88" s="219" t="str">
        <f ca="1">IF(ISERROR($V88),"",OFFSET('Smelter Look-up'!$I$4,$V88-4,0))</f>
        <v>Sichuan Sheng</v>
      </c>
      <c r="K88" s="273"/>
      <c r="L88" s="273"/>
      <c r="M88" s="273"/>
      <c r="N88" s="273"/>
      <c r="O88" s="273"/>
      <c r="P88" s="220"/>
      <c r="Q88" s="274"/>
      <c r="R88" s="217" t="str">
        <f ca="1">IF(ISERROR($V88),"",OFFSET('Smelter Look-up'!$C$4,$V88-4,0)&amp;"")</f>
        <v>Sichuan Tianze Precious Metals Co., Ltd.</v>
      </c>
      <c r="S88" s="225" t="str">
        <f t="shared" ca="1" si="12"/>
        <v>CN</v>
      </c>
      <c r="T88" s="225" t="str">
        <f ca="1">IF(B88="","",IF(ISERROR(MATCH($J88,SorP!$B$1:$B$6230,0)),"",INDIRECT("'SorP'!$A$"&amp;MATCH($J88,SorP!$B$1:$B$6230,0))))</f>
        <v>CN-SC</v>
      </c>
      <c r="U88" s="241"/>
      <c r="V88" s="275">
        <f ca="1">IF(C88="",NA(),MATCH($B88&amp;$C88,'Smelter Look-up'!$J:$J,0))</f>
        <v>228</v>
      </c>
      <c r="W88" s="276"/>
      <c r="X88" s="276">
        <f t="shared" ca="1" si="13"/>
        <v>0</v>
      </c>
      <c r="Y88" s="276"/>
      <c r="Z88" s="276"/>
      <c r="AB88" s="278" t="str">
        <f t="shared" ca="1" si="14"/>
        <v>GoldSichuan Tianze Precious Metals Co., Ltd.</v>
      </c>
    </row>
    <row r="89" spans="1:28" s="277" customFormat="1" ht="63.75">
      <c r="A89" s="216" t="s">
        <v>1417</v>
      </c>
      <c r="B89" s="217" t="str">
        <f ca="1">IF(LEN(A89)=0,"",INDEX('Smelter Look-up'!$A:$A,MATCH($A89,'Smelter Look-up'!$E:$E,0)))</f>
        <v>Gold</v>
      </c>
      <c r="C89" s="221" t="str">
        <f ca="1">IF(LEN(A89)=0,"",INDEX('Smelter Look-up'!$C:$C,MATCH($A89,'Smelter Look-up'!$E:$E,0)))</f>
        <v>Singway Technology Co., Ltd.</v>
      </c>
      <c r="D89" s="283"/>
      <c r="E89" s="217" t="str">
        <f ca="1">IF(ISERROR($V89),"",OFFSET('Smelter Look-up'!$D$4,$V89-4,0)&amp;"")</f>
        <v>TAIWAN, PROVINCE OF CHINA</v>
      </c>
      <c r="F89" s="217" t="str">
        <f ca="1">IF(ISERROR($V89),"",OFFSET('Smelter Look-up'!$E$4,$V89-4,0))</f>
        <v>CID002516</v>
      </c>
      <c r="G89" s="217" t="str">
        <f ca="1">IF(C89=$X$4,"Enter smelter details",IF(ISERROR($V89),"",OFFSET('Smelter Look-up'!$F$4,$V89-4,0)))</f>
        <v>RMI</v>
      </c>
      <c r="H89" s="218">
        <f ca="1">IF(ISERROR($V89),"",OFFSET('Smelter Look-up'!$G$4,$V89-4,0))</f>
        <v>0</v>
      </c>
      <c r="I89" s="219" t="str">
        <f ca="1">IF(ISERROR($V89),"",OFFSET('Smelter Look-up'!$H$4,$V89-4,0))</f>
        <v>Dayuan</v>
      </c>
      <c r="J89" s="219" t="str">
        <f ca="1">IF(ISERROR($V89),"",OFFSET('Smelter Look-up'!$I$4,$V89-4,0))</f>
        <v>Taoyuan</v>
      </c>
      <c r="K89" s="273"/>
      <c r="L89" s="273"/>
      <c r="M89" s="273"/>
      <c r="N89" s="273"/>
      <c r="O89" s="273"/>
      <c r="P89" s="220"/>
      <c r="Q89" s="274"/>
      <c r="R89" s="217" t="str">
        <f ca="1">IF(ISERROR($V89),"",OFFSET('Smelter Look-up'!$C$4,$V89-4,0)&amp;"")</f>
        <v>Singway Technology Co., Ltd.</v>
      </c>
      <c r="S89" s="225" t="str">
        <f t="shared" ca="1" si="12"/>
        <v>TW</v>
      </c>
      <c r="T89" s="225" t="str">
        <f ca="1">IF(B89="","",IF(ISERROR(MATCH($J89,SorP!$B$1:$B$6230,0)),"",INDIRECT("'SorP'!$A$"&amp;MATCH($J89,SorP!$B$1:$B$6230,0))))</f>
        <v>TW-TAO</v>
      </c>
      <c r="U89" s="241"/>
      <c r="V89" s="275">
        <f ca="1">IF(C89="",NA(),MATCH($B89&amp;$C89,'Smelter Look-up'!$J:$J,0))</f>
        <v>230</v>
      </c>
      <c r="W89" s="276"/>
      <c r="X89" s="276">
        <f t="shared" ca="1" si="13"/>
        <v>0</v>
      </c>
      <c r="Y89" s="276"/>
      <c r="Z89" s="276"/>
      <c r="AB89" s="278" t="str">
        <f t="shared" ca="1" si="14"/>
        <v>GoldSingway Technology Co., Ltd.</v>
      </c>
    </row>
    <row r="90" spans="1:28" s="277" customFormat="1" ht="114.75">
      <c r="A90" s="216" t="s">
        <v>745</v>
      </c>
      <c r="B90" s="217" t="str">
        <f ca="1">IF(LEN(A90)=0,"",INDEX('Smelter Look-up'!$A:$A,MATCH($A90,'Smelter Look-up'!$E:$E,0)))</f>
        <v>Gold</v>
      </c>
      <c r="C90" s="221" t="str">
        <f ca="1">IF(LEN(A90)=0,"",INDEX('Smelter Look-up'!$C:$C,MATCH($A90,'Smelter Look-up'!$E:$E,0)))</f>
        <v>SOE Shyolkovsky Factory of Secondary Precious Metals</v>
      </c>
      <c r="D90" s="283"/>
      <c r="E90" s="217" t="str">
        <f ca="1">IF(ISERROR($V90),"",OFFSET('Smelter Look-up'!$D$4,$V90-4,0)&amp;"")</f>
        <v>RUSSIAN FEDERATION</v>
      </c>
      <c r="F90" s="217" t="str">
        <f ca="1">IF(ISERROR($V90),"",OFFSET('Smelter Look-up'!$E$4,$V90-4,0))</f>
        <v>CID001756</v>
      </c>
      <c r="G90" s="217" t="str">
        <f ca="1">IF(C90=$X$4,"Enter smelter details",IF(ISERROR($V90),"",OFFSET('Smelter Look-up'!$F$4,$V90-4,0)))</f>
        <v>RMI</v>
      </c>
      <c r="H90" s="218">
        <f ca="1">IF(ISERROR($V90),"",OFFSET('Smelter Look-up'!$G$4,$V90-4,0))</f>
        <v>0</v>
      </c>
      <c r="I90" s="219" t="str">
        <f ca="1">IF(ISERROR($V90),"",OFFSET('Smelter Look-up'!$H$4,$V90-4,0))</f>
        <v>Shyolkovo</v>
      </c>
      <c r="J90" s="219" t="str">
        <f ca="1">IF(ISERROR($V90),"",OFFSET('Smelter Look-up'!$I$4,$V90-4,0))</f>
        <v>Moskovskaja oblast'</v>
      </c>
      <c r="K90" s="273"/>
      <c r="L90" s="273"/>
      <c r="M90" s="273"/>
      <c r="N90" s="273"/>
      <c r="O90" s="273"/>
      <c r="P90" s="220"/>
      <c r="Q90" s="274"/>
      <c r="R90" s="217" t="str">
        <f ca="1">IF(ISERROR($V90),"",OFFSET('Smelter Look-up'!$C$4,$V90-4,0)&amp;"")</f>
        <v>SOE Shyolkovsky Factory of Secondary Precious Metals</v>
      </c>
      <c r="S90" s="225" t="str">
        <f t="shared" ca="1" si="12"/>
        <v>RU</v>
      </c>
      <c r="T90" s="225" t="str">
        <f ca="1">IF(B90="","",IF(ISERROR(MATCH($J90,SorP!$B$1:$B$6230,0)),"",INDIRECT("'SorP'!$A$"&amp;MATCH($J90,SorP!$B$1:$B$6230,0))))</f>
        <v>RU-MOS</v>
      </c>
      <c r="U90" s="241"/>
      <c r="V90" s="275">
        <f ca="1">IF(C90="",NA(),MATCH($B90&amp;$C90,'Smelter Look-up'!$J:$J,0))</f>
        <v>232</v>
      </c>
      <c r="W90" s="276"/>
      <c r="X90" s="276">
        <f t="shared" ca="1" si="13"/>
        <v>0</v>
      </c>
      <c r="Y90" s="276"/>
      <c r="Z90" s="276"/>
      <c r="AB90" s="278" t="str">
        <f t="shared" ca="1" si="14"/>
        <v>GoldSOE Shyolkovsky Factory of Secondary Precious Metals</v>
      </c>
    </row>
    <row r="91" spans="1:28" s="277" customFormat="1" ht="63.75">
      <c r="A91" s="216" t="s">
        <v>2596</v>
      </c>
      <c r="B91" s="217" t="str">
        <f ca="1">IF(LEN(A91)=0,"",INDEX('Smelter Look-up'!$A:$A,MATCH($A91,'Smelter Look-up'!$E:$E,0)))</f>
        <v>Gold</v>
      </c>
      <c r="C91" s="221" t="str">
        <f ca="1">IF(LEN(A91)=0,"",INDEX('Smelter Look-up'!$C:$C,MATCH($A91,'Smelter Look-up'!$E:$E,0)))</f>
        <v>SungEel HiMetal Co., Ltd.</v>
      </c>
      <c r="D91" s="283"/>
      <c r="E91" s="217" t="str">
        <f ca="1">IF(ISERROR($V91),"",OFFSET('Smelter Look-up'!$D$4,$V91-4,0)&amp;"")</f>
        <v>KOREA, REPUBLIC OF</v>
      </c>
      <c r="F91" s="217" t="str">
        <f ca="1">IF(ISERROR($V91),"",OFFSET('Smelter Look-up'!$E$4,$V91-4,0))</f>
        <v>CID002918</v>
      </c>
      <c r="G91" s="217" t="str">
        <f ca="1">IF(C91=$X$4,"Enter smelter details",IF(ISERROR($V91),"",OFFSET('Smelter Look-up'!$F$4,$V91-4,0)))</f>
        <v>RMI</v>
      </c>
      <c r="H91" s="218">
        <f ca="1">IF(ISERROR($V91),"",OFFSET('Smelter Look-up'!$G$4,$V91-4,0))</f>
        <v>0</v>
      </c>
      <c r="I91" s="219" t="str">
        <f ca="1">IF(ISERROR($V91),"",OFFSET('Smelter Look-up'!$H$4,$V91-4,0))</f>
        <v>Gunsan-si</v>
      </c>
      <c r="J91" s="219" t="str">
        <f ca="1">IF(ISERROR($V91),"",OFFSET('Smelter Look-up'!$I$4,$V91-4,0))</f>
        <v>Jeollabuk-do</v>
      </c>
      <c r="K91" s="273"/>
      <c r="L91" s="273"/>
      <c r="M91" s="273"/>
      <c r="N91" s="273"/>
      <c r="O91" s="273"/>
      <c r="P91" s="220"/>
      <c r="Q91" s="274"/>
      <c r="R91" s="217" t="str">
        <f ca="1">IF(ISERROR($V91),"",OFFSET('Smelter Look-up'!$C$4,$V91-4,0)&amp;"")</f>
        <v>SungEel HiMetal Co., Ltd.</v>
      </c>
      <c r="S91" s="225" t="str">
        <f t="shared" ca="1" si="12"/>
        <v>KR</v>
      </c>
      <c r="T91" s="225" t="str">
        <f ca="1">IF(B91="","",IF(ISERROR(MATCH($J91,SorP!$B$1:$B$6230,0)),"",INDIRECT("'SorP'!$A$"&amp;MATCH($J91,SorP!$B$1:$B$6230,0))))</f>
        <v>KR-45</v>
      </c>
      <c r="U91" s="241"/>
      <c r="V91" s="275">
        <f ca="1">IF(C91="",NA(),MATCH($B91&amp;$C91,'Smelter Look-up'!$J:$J,0))</f>
        <v>241</v>
      </c>
      <c r="W91" s="276"/>
      <c r="X91" s="276">
        <f t="shared" ca="1" si="13"/>
        <v>0</v>
      </c>
      <c r="Y91" s="276"/>
      <c r="Z91" s="276"/>
      <c r="AB91" s="278" t="str">
        <f t="shared" ca="1" si="14"/>
        <v>GoldSungEel HiMetal Co., Ltd.</v>
      </c>
    </row>
    <row r="92" spans="1:28" s="277" customFormat="1" ht="25.5">
      <c r="A92" s="216" t="s">
        <v>1747</v>
      </c>
      <c r="B92" s="217" t="str">
        <f ca="1">IF(LEN(A92)=0,"",INDEX('Smelter Look-up'!$A:$A,MATCH($A92,'Smelter Look-up'!$E:$E,0)))</f>
        <v>Gold</v>
      </c>
      <c r="C92" s="221" t="str">
        <f ca="1">IF(LEN(A92)=0,"",INDEX('Smelter Look-up'!$C:$C,MATCH($A92,'Smelter Look-up'!$E:$E,0)))</f>
        <v>T.C.A S.p.A</v>
      </c>
      <c r="D92" s="283"/>
      <c r="E92" s="217" t="str">
        <f ca="1">IF(ISERROR($V92),"",OFFSET('Smelter Look-up'!$D$4,$V92-4,0)&amp;"")</f>
        <v>ITALY</v>
      </c>
      <c r="F92" s="217" t="str">
        <f ca="1">IF(ISERROR($V92),"",OFFSET('Smelter Look-up'!$E$4,$V92-4,0))</f>
        <v>CID002580</v>
      </c>
      <c r="G92" s="217" t="str">
        <f ca="1">IF(C92=$X$4,"Enter smelter details",IF(ISERROR($V92),"",OFFSET('Smelter Look-up'!$F$4,$V92-4,0)))</f>
        <v>RMI</v>
      </c>
      <c r="H92" s="218">
        <f ca="1">IF(ISERROR($V92),"",OFFSET('Smelter Look-up'!$G$4,$V92-4,0))</f>
        <v>0</v>
      </c>
      <c r="I92" s="219" t="str">
        <f ca="1">IF(ISERROR($V92),"",OFFSET('Smelter Look-up'!$H$4,$V92-4,0))</f>
        <v>Capolona</v>
      </c>
      <c r="J92" s="219" t="str">
        <f ca="1">IF(ISERROR($V92),"",OFFSET('Smelter Look-up'!$I$4,$V92-4,0))</f>
        <v>Toscana</v>
      </c>
      <c r="K92" s="273"/>
      <c r="L92" s="273"/>
      <c r="M92" s="273"/>
      <c r="N92" s="273"/>
      <c r="O92" s="273"/>
      <c r="P92" s="220"/>
      <c r="Q92" s="274"/>
      <c r="R92" s="217" t="str">
        <f ca="1">IF(ISERROR($V92),"",OFFSET('Smelter Look-up'!$C$4,$V92-4,0)&amp;"")</f>
        <v>T.C.A S.p.A</v>
      </c>
      <c r="S92" s="225" t="str">
        <f t="shared" ca="1" si="12"/>
        <v>IT</v>
      </c>
      <c r="T92" s="225" t="str">
        <f ca="1">IF(B92="","",IF(ISERROR(MATCH($J92,SorP!$B$1:$B$6230,0)),"",INDIRECT("'SorP'!$A$"&amp;MATCH($J92,SorP!$B$1:$B$6230,0))))</f>
        <v>IT-52</v>
      </c>
      <c r="U92" s="241"/>
      <c r="V92" s="275">
        <f ca="1">IF(C92="",NA(),MATCH($B92&amp;$C92,'Smelter Look-up'!$J:$J,0))</f>
        <v>243</v>
      </c>
      <c r="W92" s="276"/>
      <c r="X92" s="276">
        <f t="shared" ca="1" si="13"/>
        <v>0</v>
      </c>
      <c r="Y92" s="276"/>
      <c r="Z92" s="276"/>
      <c r="AB92" s="278" t="str">
        <f t="shared" ca="1" si="14"/>
        <v>GoldT.C.A S.p.A</v>
      </c>
    </row>
    <row r="93" spans="1:28" s="277" customFormat="1" ht="25.5">
      <c r="A93" s="216" t="s">
        <v>753</v>
      </c>
      <c r="B93" s="217" t="str">
        <f ca="1">IF(LEN(A93)=0,"",INDEX('Smelter Look-up'!$A:$A,MATCH($A93,'Smelter Look-up'!$E:$E,0)))</f>
        <v>Gold</v>
      </c>
      <c r="C93" s="221" t="str">
        <f ca="1">IF(LEN(A93)=0,"",INDEX('Smelter Look-up'!$C:$C,MATCH($A93,'Smelter Look-up'!$E:$E,0)))</f>
        <v>Torecom</v>
      </c>
      <c r="D93" s="283"/>
      <c r="E93" s="217" t="str">
        <f ca="1">IF(ISERROR($V93),"",OFFSET('Smelter Look-up'!$D$4,$V93-4,0)&amp;"")</f>
        <v>KOREA, REPUBLIC OF</v>
      </c>
      <c r="F93" s="217" t="str">
        <f ca="1">IF(ISERROR($V93),"",OFFSET('Smelter Look-up'!$E$4,$V93-4,0))</f>
        <v>CID001955</v>
      </c>
      <c r="G93" s="217" t="str">
        <f ca="1">IF(C93=$X$4,"Enter smelter details",IF(ISERROR($V93),"",OFFSET('Smelter Look-up'!$F$4,$V93-4,0)))</f>
        <v>RMI</v>
      </c>
      <c r="H93" s="218">
        <f ca="1">IF(ISERROR($V93),"",OFFSET('Smelter Look-up'!$G$4,$V93-4,0))</f>
        <v>0</v>
      </c>
      <c r="I93" s="219" t="str">
        <f ca="1">IF(ISERROR($V93),"",OFFSET('Smelter Look-up'!$H$4,$V93-4,0))</f>
        <v>Asan</v>
      </c>
      <c r="J93" s="219" t="str">
        <f ca="1">IF(ISERROR($V93),"",OFFSET('Smelter Look-up'!$I$4,$V93-4,0))</f>
        <v>Chungcheongnam-do</v>
      </c>
      <c r="K93" s="273"/>
      <c r="L93" s="273"/>
      <c r="M93" s="273"/>
      <c r="N93" s="273"/>
      <c r="O93" s="273"/>
      <c r="P93" s="220"/>
      <c r="Q93" s="274"/>
      <c r="R93" s="217" t="str">
        <f ca="1">IF(ISERROR($V93),"",OFFSET('Smelter Look-up'!$C$4,$V93-4,0)&amp;"")</f>
        <v>Torecom</v>
      </c>
      <c r="S93" s="225" t="str">
        <f t="shared" ca="1" si="12"/>
        <v>KR</v>
      </c>
      <c r="T93" s="225" t="str">
        <f ca="1">IF(B93="","",IF(ISERROR(MATCH($J93,SorP!$B$1:$B$6230,0)),"",INDIRECT("'SorP'!$A$"&amp;MATCH($J93,SorP!$B$1:$B$6230,0))))</f>
        <v>KR-44</v>
      </c>
      <c r="U93" s="241"/>
      <c r="V93" s="275">
        <f ca="1">IF(C93="",NA(),MATCH($B93&amp;$C93,'Smelter Look-up'!$J:$J,0))</f>
        <v>262</v>
      </c>
      <c r="W93" s="276"/>
      <c r="X93" s="276">
        <f t="shared" ca="1" si="13"/>
        <v>0</v>
      </c>
      <c r="Y93" s="276"/>
      <c r="Z93" s="276"/>
      <c r="AB93" s="278" t="str">
        <f t="shared" ca="1" si="14"/>
        <v>GoldTorecom</v>
      </c>
    </row>
    <row r="94" spans="1:28" s="277" customFormat="1" ht="63.75">
      <c r="A94" s="216" t="s">
        <v>150</v>
      </c>
      <c r="B94" s="217" t="str">
        <f ca="1">IF(LEN(A94)=0,"",INDEX('Smelter Look-up'!$A:$A,MATCH($A94,'Smelter Look-up'!$E:$E,0)))</f>
        <v>Gold</v>
      </c>
      <c r="C94" s="221" t="str">
        <f ca="1">IF(LEN(A94)=0,"",INDEX('Smelter Look-up'!$C:$C,MATCH($A94,'Smelter Look-up'!$E:$E,0)))</f>
        <v>Umicore Precious Metals Thailand</v>
      </c>
      <c r="D94" s="283"/>
      <c r="E94" s="217" t="str">
        <f ca="1">IF(ISERROR($V94),"",OFFSET('Smelter Look-up'!$D$4,$V94-4,0)&amp;"")</f>
        <v>THAILAND</v>
      </c>
      <c r="F94" s="217" t="str">
        <f ca="1">IF(ISERROR($V94),"",OFFSET('Smelter Look-up'!$E$4,$V94-4,0))</f>
        <v>CID002314</v>
      </c>
      <c r="G94" s="217" t="str">
        <f ca="1">IF(C94=$X$4,"Enter smelter details",IF(ISERROR($V94),"",OFFSET('Smelter Look-up'!$F$4,$V94-4,0)))</f>
        <v>RMI</v>
      </c>
      <c r="H94" s="218">
        <f ca="1">IF(ISERROR($V94),"",OFFSET('Smelter Look-up'!$G$4,$V94-4,0))</f>
        <v>0</v>
      </c>
      <c r="I94" s="219" t="str">
        <f ca="1">IF(ISERROR($V94),"",OFFSET('Smelter Look-up'!$H$4,$V94-4,0))</f>
        <v>Khwaeng Dok Mai</v>
      </c>
      <c r="J94" s="219" t="str">
        <f ca="1">IF(ISERROR($V94),"",OFFSET('Smelter Look-up'!$I$4,$V94-4,0))</f>
        <v>Krung Thep Maha Nakhon</v>
      </c>
      <c r="K94" s="273"/>
      <c r="L94" s="273"/>
      <c r="M94" s="273"/>
      <c r="N94" s="273"/>
      <c r="O94" s="273"/>
      <c r="P94" s="220"/>
      <c r="Q94" s="274"/>
      <c r="R94" s="217" t="str">
        <f ca="1">IF(ISERROR($V94),"",OFFSET('Smelter Look-up'!$C$4,$V94-4,0)&amp;"")</f>
        <v>Umicore Precious Metals Thailand</v>
      </c>
      <c r="S94" s="225" t="str">
        <f t="shared" ca="1" si="12"/>
        <v>TH</v>
      </c>
      <c r="T94" s="225" t="str">
        <f ca="1">IF(B94="","",IF(ISERROR(MATCH($J94,SorP!$B$1:$B$6230,0)),"",INDIRECT("'SorP'!$A$"&amp;MATCH($J94,SorP!$B$1:$B$6230,0))))</f>
        <v>TH-10</v>
      </c>
      <c r="U94" s="241"/>
      <c r="V94" s="275">
        <f ca="1">IF(C94="",NA(),MATCH($B94&amp;$C94,'Smelter Look-up'!$J:$J,0))</f>
        <v>266</v>
      </c>
      <c r="W94" s="276"/>
      <c r="X94" s="276">
        <f t="shared" ca="1" si="13"/>
        <v>0</v>
      </c>
      <c r="Y94" s="276"/>
      <c r="Z94" s="276"/>
      <c r="AB94" s="278" t="str">
        <f t="shared" ca="1" si="14"/>
        <v>GoldUmicore Precious Metals Thailand</v>
      </c>
    </row>
    <row r="95" spans="1:28" s="277" customFormat="1" ht="38.25">
      <c r="A95" s="216" t="s">
        <v>757</v>
      </c>
      <c r="B95" s="217" t="str">
        <f ca="1">IF(LEN(A95)=0,"",INDEX('Smelter Look-up'!$A:$A,MATCH($A95,'Smelter Look-up'!$E:$E,0)))</f>
        <v>Gold</v>
      </c>
      <c r="C95" s="221" t="str">
        <f ca="1">IF(LEN(A95)=0,"",INDEX('Smelter Look-up'!$C:$C,MATCH($A95,'Smelter Look-up'!$E:$E,0)))</f>
        <v>Valcambi S.A.</v>
      </c>
      <c r="D95" s="283"/>
      <c r="E95" s="217" t="str">
        <f ca="1">IF(ISERROR($V95),"",OFFSET('Smelter Look-up'!$D$4,$V95-4,0)&amp;"")</f>
        <v>SWITZERLAND</v>
      </c>
      <c r="F95" s="217" t="str">
        <f ca="1">IF(ISERROR($V95),"",OFFSET('Smelter Look-up'!$E$4,$V95-4,0))</f>
        <v>CID002003</v>
      </c>
      <c r="G95" s="217" t="str">
        <f ca="1">IF(C95=$X$4,"Enter smelter details",IF(ISERROR($V95),"",OFFSET('Smelter Look-up'!$F$4,$V95-4,0)))</f>
        <v>RMI</v>
      </c>
      <c r="H95" s="218">
        <f ca="1">IF(ISERROR($V95),"",OFFSET('Smelter Look-up'!$G$4,$V95-4,0))</f>
        <v>0</v>
      </c>
      <c r="I95" s="219" t="str">
        <f ca="1">IF(ISERROR($V95),"",OFFSET('Smelter Look-up'!$H$4,$V95-4,0))</f>
        <v>Balerna</v>
      </c>
      <c r="J95" s="219" t="str">
        <f ca="1">IF(ISERROR($V95),"",OFFSET('Smelter Look-up'!$I$4,$V95-4,0))</f>
        <v>Ticino</v>
      </c>
      <c r="K95" s="273"/>
      <c r="L95" s="273"/>
      <c r="M95" s="273"/>
      <c r="N95" s="273"/>
      <c r="O95" s="273"/>
      <c r="P95" s="220"/>
      <c r="Q95" s="274"/>
      <c r="R95" s="217" t="str">
        <f ca="1">IF(ISERROR($V95),"",OFFSET('Smelter Look-up'!$C$4,$V95-4,0)&amp;"")</f>
        <v>Valcambi S.A.</v>
      </c>
      <c r="S95" s="225" t="str">
        <f t="shared" ca="1" si="12"/>
        <v>CH</v>
      </c>
      <c r="T95" s="225" t="str">
        <f ca="1">IF(B95="","",IF(ISERROR(MATCH($J95,SorP!$B$1:$B$6230,0)),"",INDIRECT("'SorP'!$A$"&amp;MATCH($J95,SorP!$B$1:$B$6230,0))))</f>
        <v>CH-TI</v>
      </c>
      <c r="U95" s="241"/>
      <c r="V95" s="275">
        <f ca="1">IF(C95="",NA(),MATCH($B95&amp;$C95,'Smelter Look-up'!$J:$J,0))</f>
        <v>269</v>
      </c>
      <c r="W95" s="276"/>
      <c r="X95" s="276">
        <f t="shared" ca="1" si="13"/>
        <v>0</v>
      </c>
      <c r="Y95" s="276"/>
      <c r="Z95" s="276"/>
      <c r="AB95" s="278" t="str">
        <f t="shared" ca="1" si="14"/>
        <v>GoldValcambi S.A.</v>
      </c>
    </row>
    <row r="96" spans="1:28" s="277" customFormat="1" ht="63.75">
      <c r="A96" s="216" t="s">
        <v>2315</v>
      </c>
      <c r="B96" s="217" t="str">
        <f ca="1">IF(LEN(A96)=0,"",INDEX('Smelter Look-up'!$A:$A,MATCH($A96,'Smelter Look-up'!$E:$E,0)))</f>
        <v>Gold</v>
      </c>
      <c r="C96" s="221" t="str">
        <f ca="1">IF(LEN(A96)=0,"",INDEX('Smelter Look-up'!$C:$C,MATCH($A96,'Smelter Look-up'!$E:$E,0)))</f>
        <v>WIELAND Edelmetalle GmbH</v>
      </c>
      <c r="D96" s="283"/>
      <c r="E96" s="217" t="str">
        <f ca="1">IF(ISERROR($V96),"",OFFSET('Smelter Look-up'!$D$4,$V96-4,0)&amp;"")</f>
        <v>GERMANY</v>
      </c>
      <c r="F96" s="217" t="str">
        <f ca="1">IF(ISERROR($V96),"",OFFSET('Smelter Look-up'!$E$4,$V96-4,0))</f>
        <v>CID002778</v>
      </c>
      <c r="G96" s="217" t="str">
        <f ca="1">IF(C96=$X$4,"Enter smelter details",IF(ISERROR($V96),"",OFFSET('Smelter Look-up'!$F$4,$V96-4,0)))</f>
        <v>RMI</v>
      </c>
      <c r="H96" s="218">
        <f ca="1">IF(ISERROR($V96),"",OFFSET('Smelter Look-up'!$G$4,$V96-4,0))</f>
        <v>0</v>
      </c>
      <c r="I96" s="219" t="str">
        <f ca="1">IF(ISERROR($V96),"",OFFSET('Smelter Look-up'!$H$4,$V96-4,0))</f>
        <v>Pforzheim</v>
      </c>
      <c r="J96" s="219" t="str">
        <f ca="1">IF(ISERROR($V96),"",OFFSET('Smelter Look-up'!$I$4,$V96-4,0))</f>
        <v>Baden-Württemberg</v>
      </c>
      <c r="K96" s="273"/>
      <c r="L96" s="273"/>
      <c r="M96" s="273"/>
      <c r="N96" s="273"/>
      <c r="O96" s="273"/>
      <c r="P96" s="220"/>
      <c r="Q96" s="274"/>
      <c r="R96" s="217" t="str">
        <f ca="1">IF(ISERROR($V96),"",OFFSET('Smelter Look-up'!$C$4,$V96-4,0)&amp;"")</f>
        <v>WIELAND Edelmetalle GmbH</v>
      </c>
      <c r="S96" s="225" t="str">
        <f t="shared" ca="1" si="12"/>
        <v>DE</v>
      </c>
      <c r="T96" s="225" t="str">
        <f ca="1">IF(B96="","",IF(ISERROR(MATCH($J96,SorP!$B$1:$B$6230,0)),"",INDIRECT("'SorP'!$A$"&amp;MATCH($J96,SorP!$B$1:$B$6230,0))))</f>
        <v>DE-BW</v>
      </c>
      <c r="U96" s="241"/>
      <c r="V96" s="275">
        <f ca="1">IF(C96="",NA(),MATCH($B96&amp;$C96,'Smelter Look-up'!$J:$J,0))</f>
        <v>271</v>
      </c>
      <c r="W96" s="276"/>
      <c r="X96" s="276">
        <f t="shared" ca="1" si="13"/>
        <v>0</v>
      </c>
      <c r="Y96" s="276"/>
      <c r="Z96" s="276"/>
      <c r="AB96" s="278" t="str">
        <f t="shared" ca="1" si="14"/>
        <v>GoldWIELAND Edelmetalle GmbH</v>
      </c>
    </row>
    <row r="97" spans="1:28" s="277" customFormat="1" ht="51">
      <c r="A97" s="216" t="s">
        <v>759</v>
      </c>
      <c r="B97" s="217" t="str">
        <f ca="1">IF(LEN(A97)=0,"",INDEX('Smelter Look-up'!$A:$A,MATCH($A97,'Smelter Look-up'!$E:$E,0)))</f>
        <v>Gold</v>
      </c>
      <c r="C97" s="221" t="str">
        <f ca="1">IF(LEN(A97)=0,"",INDEX('Smelter Look-up'!$C:$C,MATCH($A97,'Smelter Look-up'!$E:$E,0)))</f>
        <v>Yamakin Co., Ltd.</v>
      </c>
      <c r="D97" s="283"/>
      <c r="E97" s="217" t="str">
        <f ca="1">IF(ISERROR($V97),"",OFFSET('Smelter Look-up'!$D$4,$V97-4,0)&amp;"")</f>
        <v>JAPAN</v>
      </c>
      <c r="F97" s="217" t="str">
        <f ca="1">IF(ISERROR($V97),"",OFFSET('Smelter Look-up'!$E$4,$V97-4,0))</f>
        <v>CID002100</v>
      </c>
      <c r="G97" s="217" t="str">
        <f ca="1">IF(C97=$X$4,"Enter smelter details",IF(ISERROR($V97),"",OFFSET('Smelter Look-up'!$F$4,$V97-4,0)))</f>
        <v>RMI</v>
      </c>
      <c r="H97" s="218">
        <f ca="1">IF(ISERROR($V97),"",OFFSET('Smelter Look-up'!$G$4,$V97-4,0))</f>
        <v>0</v>
      </c>
      <c r="I97" s="219" t="str">
        <f ca="1">IF(ISERROR($V97),"",OFFSET('Smelter Look-up'!$H$4,$V97-4,0))</f>
        <v>Konan</v>
      </c>
      <c r="J97" s="219" t="str">
        <f ca="1">IF(ISERROR($V97),"",OFFSET('Smelter Look-up'!$I$4,$V97-4,0))</f>
        <v>Kochi</v>
      </c>
      <c r="K97" s="273"/>
      <c r="L97" s="273"/>
      <c r="M97" s="273"/>
      <c r="N97" s="273"/>
      <c r="O97" s="273"/>
      <c r="P97" s="220"/>
      <c r="Q97" s="274"/>
      <c r="R97" s="217" t="str">
        <f ca="1">IF(ISERROR($V97),"",OFFSET('Smelter Look-up'!$C$4,$V97-4,0)&amp;"")</f>
        <v>Yamakin Co., Ltd.</v>
      </c>
      <c r="S97" s="225" t="str">
        <f t="shared" ca="1" si="12"/>
        <v>JP</v>
      </c>
      <c r="T97" s="225" t="str">
        <f ca="1">IF(B97="","",IF(ISERROR(MATCH($J97,SorP!$B$1:$B$6230,0)),"",INDIRECT("'SorP'!$A$"&amp;MATCH($J97,SorP!$B$1:$B$6230,0))))</f>
        <v>JP-39</v>
      </c>
      <c r="U97" s="241"/>
      <c r="V97" s="275">
        <f ca="1">IF(C97="",NA(),MATCH($B97&amp;$C97,'Smelter Look-up'!$J:$J,0))</f>
        <v>275</v>
      </c>
      <c r="W97" s="276"/>
      <c r="X97" s="276">
        <f t="shared" ca="1" si="13"/>
        <v>0</v>
      </c>
      <c r="Y97" s="276"/>
      <c r="Z97" s="276"/>
      <c r="AB97" s="278" t="str">
        <f t="shared" ca="1" si="14"/>
        <v>GoldYamakin Co., Ltd.</v>
      </c>
    </row>
    <row r="98" spans="1:28" s="277" customFormat="1" ht="63.75">
      <c r="A98" s="216" t="s">
        <v>760</v>
      </c>
      <c r="B98" s="217" t="str">
        <f ca="1">IF(LEN(A98)=0,"",INDEX('Smelter Look-up'!$A:$A,MATCH($A98,'Smelter Look-up'!$E:$E,0)))</f>
        <v>Gold</v>
      </c>
      <c r="C98" s="221" t="str">
        <f ca="1">IF(LEN(A98)=0,"",INDEX('Smelter Look-up'!$C:$C,MATCH($A98,'Smelter Look-up'!$E:$E,0)))</f>
        <v>Yokohama Metal Co., Ltd.</v>
      </c>
      <c r="D98" s="283"/>
      <c r="E98" s="217" t="str">
        <f ca="1">IF(ISERROR($V98),"",OFFSET('Smelter Look-up'!$D$4,$V98-4,0)&amp;"")</f>
        <v>JAPAN</v>
      </c>
      <c r="F98" s="217" t="str">
        <f ca="1">IF(ISERROR($V98),"",OFFSET('Smelter Look-up'!$E$4,$V98-4,0))</f>
        <v>CID002129</v>
      </c>
      <c r="G98" s="217" t="str">
        <f ca="1">IF(C98=$X$4,"Enter smelter details",IF(ISERROR($V98),"",OFFSET('Smelter Look-up'!$F$4,$V98-4,0)))</f>
        <v>RMI</v>
      </c>
      <c r="H98" s="218">
        <f ca="1">IF(ISERROR($V98),"",OFFSET('Smelter Look-up'!$G$4,$V98-4,0))</f>
        <v>0</v>
      </c>
      <c r="I98" s="219" t="str">
        <f ca="1">IF(ISERROR($V98),"",OFFSET('Smelter Look-up'!$H$4,$V98-4,0))</f>
        <v>Sagamihara</v>
      </c>
      <c r="J98" s="219" t="str">
        <f ca="1">IF(ISERROR($V98),"",OFFSET('Smelter Look-up'!$I$4,$V98-4,0))</f>
        <v>Kanagawa</v>
      </c>
      <c r="K98" s="273"/>
      <c r="L98" s="273"/>
      <c r="M98" s="273"/>
      <c r="N98" s="273"/>
      <c r="O98" s="273"/>
      <c r="P98" s="220"/>
      <c r="Q98" s="274"/>
      <c r="R98" s="217" t="str">
        <f ca="1">IF(ISERROR($V98),"",OFFSET('Smelter Look-up'!$C$4,$V98-4,0)&amp;"")</f>
        <v>Yokohama Metal Co., Ltd.</v>
      </c>
      <c r="S98" s="225" t="str">
        <f t="shared" ca="1" si="12"/>
        <v>JP</v>
      </c>
      <c r="T98" s="225" t="str">
        <f ca="1">IF(B98="","",IF(ISERROR(MATCH($J98,SorP!$B$1:$B$6230,0)),"",INDIRECT("'SorP'!$A$"&amp;MATCH($J98,SorP!$B$1:$B$6230,0))))</f>
        <v>JP-14</v>
      </c>
      <c r="U98" s="241"/>
      <c r="V98" s="275">
        <f ca="1">IF(C98="",NA(),MATCH($B98&amp;$C98,'Smelter Look-up'!$J:$J,0))</f>
        <v>280</v>
      </c>
      <c r="W98" s="276"/>
      <c r="X98" s="276">
        <f t="shared" ca="1" si="13"/>
        <v>0</v>
      </c>
      <c r="Y98" s="276"/>
      <c r="Z98" s="276"/>
      <c r="AB98" s="278" t="str">
        <f t="shared" ca="1" si="14"/>
        <v>GoldYokohama Metal Co., Ltd.</v>
      </c>
    </row>
    <row r="99" spans="1:28" s="277" customFormat="1" ht="89.25">
      <c r="A99" s="216" t="s">
        <v>763</v>
      </c>
      <c r="B99" s="217" t="str">
        <f ca="1">IF(LEN(A99)=0,"",INDEX('Smelter Look-up'!$A:$A,MATCH($A99,'Smelter Look-up'!$E:$E,0)))</f>
        <v>Gold</v>
      </c>
      <c r="C99" s="221" t="str">
        <f ca="1">IF(LEN(A99)=0,"",INDEX('Smelter Look-up'!$C:$C,MATCH($A99,'Smelter Look-up'!$E:$E,0)))</f>
        <v>Gold Refinery of Zijin Mining Group Co., Ltd.</v>
      </c>
      <c r="D99" s="283"/>
      <c r="E99" s="217" t="str">
        <f ca="1">IF(ISERROR($V99),"",OFFSET('Smelter Look-up'!$D$4,$V99-4,0)&amp;"")</f>
        <v>CHINA</v>
      </c>
      <c r="F99" s="217" t="str">
        <f ca="1">IF(ISERROR($V99),"",OFFSET('Smelter Look-up'!$E$4,$V99-4,0))</f>
        <v>CID002243</v>
      </c>
      <c r="G99" s="217" t="str">
        <f ca="1">IF(C99=$X$4,"Enter smelter details",IF(ISERROR($V99),"",OFFSET('Smelter Look-up'!$F$4,$V99-4,0)))</f>
        <v>RMI</v>
      </c>
      <c r="H99" s="218">
        <f ca="1">IF(ISERROR($V99),"",OFFSET('Smelter Look-up'!$G$4,$V99-4,0))</f>
        <v>0</v>
      </c>
      <c r="I99" s="219" t="str">
        <f ca="1">IF(ISERROR($V99),"",OFFSET('Smelter Look-up'!$H$4,$V99-4,0))</f>
        <v>Shanghang</v>
      </c>
      <c r="J99" s="219" t="str">
        <f ca="1">IF(ISERROR($V99),"",OFFSET('Smelter Look-up'!$I$4,$V99-4,0))</f>
        <v>Fujian Sheng</v>
      </c>
      <c r="K99" s="273"/>
      <c r="L99" s="273"/>
      <c r="M99" s="273"/>
      <c r="N99" s="273"/>
      <c r="O99" s="273"/>
      <c r="P99" s="220"/>
      <c r="Q99" s="274"/>
      <c r="R99" s="217" t="str">
        <f ca="1">IF(ISERROR($V99),"",OFFSET('Smelter Look-up'!$C$4,$V99-4,0)&amp;"")</f>
        <v>Gold Refinery of Zijin Mining Group Co., Ltd.</v>
      </c>
      <c r="S99" s="225" t="str">
        <f t="shared" ca="1" si="12"/>
        <v>CN</v>
      </c>
      <c r="T99" s="225" t="str">
        <f ca="1">IF(B99="","",IF(ISERROR(MATCH($J99,SorP!$B$1:$B$6230,0)),"",INDIRECT("'SorP'!$A$"&amp;MATCH($J99,SorP!$B$1:$B$6230,0))))</f>
        <v>CN-FJ</v>
      </c>
      <c r="U99" s="241"/>
      <c r="V99" s="275">
        <f ca="1">IF(C99="",NA(),MATCH($B99&amp;$C99,'Smelter Look-up'!$J:$J,0))</f>
        <v>83</v>
      </c>
      <c r="W99" s="276"/>
      <c r="X99" s="276">
        <f t="shared" ca="1" si="13"/>
        <v>0</v>
      </c>
      <c r="Y99" s="276"/>
      <c r="Z99" s="276"/>
      <c r="AB99" s="278" t="str">
        <f t="shared" ca="1" si="14"/>
        <v>GoldGold Refinery of Zijin Mining Group Co., Ltd.</v>
      </c>
    </row>
    <row r="100" spans="1:28" s="277" customFormat="1" ht="102">
      <c r="A100" s="216" t="s">
        <v>758</v>
      </c>
      <c r="B100" s="217" t="str">
        <f ca="1">IF(LEN(A100)=0,"",INDEX('Smelter Look-up'!$A:$A,MATCH($A100,'Smelter Look-up'!$E:$E,0)))</f>
        <v>Gold</v>
      </c>
      <c r="C100" s="221" t="str">
        <f ca="1">IF(LEN(A100)=0,"",INDEX('Smelter Look-up'!$C:$C,MATCH($A100,'Smelter Look-up'!$E:$E,0)))</f>
        <v>Western Australian Mint (T/a The Perth Mint)</v>
      </c>
      <c r="D100" s="283"/>
      <c r="E100" s="217" t="str">
        <f ca="1">IF(ISERROR($V100),"",OFFSET('Smelter Look-up'!$D$4,$V100-4,0)&amp;"")</f>
        <v>AUSTRALIA</v>
      </c>
      <c r="F100" s="217" t="str">
        <f ca="1">IF(ISERROR($V100),"",OFFSET('Smelter Look-up'!$E$4,$V100-4,0))</f>
        <v>CID002030</v>
      </c>
      <c r="G100" s="217" t="str">
        <f ca="1">IF(C100=$X$4,"Enter smelter details",IF(ISERROR($V100),"",OFFSET('Smelter Look-up'!$F$4,$V100-4,0)))</f>
        <v>RMI</v>
      </c>
      <c r="H100" s="218">
        <f ca="1">IF(ISERROR($V100),"",OFFSET('Smelter Look-up'!$G$4,$V100-4,0))</f>
        <v>0</v>
      </c>
      <c r="I100" s="219" t="str">
        <f ca="1">IF(ISERROR($V100),"",OFFSET('Smelter Look-up'!$H$4,$V100-4,0))</f>
        <v>Newburn</v>
      </c>
      <c r="J100" s="219" t="str">
        <f ca="1">IF(ISERROR($V100),"",OFFSET('Smelter Look-up'!$I$4,$V100-4,0))</f>
        <v>Western Australia</v>
      </c>
      <c r="K100" s="273"/>
      <c r="L100" s="273"/>
      <c r="M100" s="273"/>
      <c r="N100" s="273"/>
      <c r="O100" s="273"/>
      <c r="P100" s="220"/>
      <c r="Q100" s="274"/>
      <c r="R100" s="217" t="str">
        <f ca="1">IF(ISERROR($V100),"",OFFSET('Smelter Look-up'!$C$4,$V100-4,0)&amp;"")</f>
        <v>Western Australian Mint (T/a The Perth Mint)</v>
      </c>
      <c r="S100" s="225" t="str">
        <f t="shared" ca="1" si="12"/>
        <v>AU</v>
      </c>
      <c r="T100" s="225" t="str">
        <f ca="1">IF(B100="","",IF(ISERROR(MATCH($J100,SorP!$B$1:$B$6230,0)),"",INDIRECT("'SorP'!$A$"&amp;MATCH($J100,SorP!$B$1:$B$6230,0))))</f>
        <v>AU-WA</v>
      </c>
      <c r="U100" s="241"/>
      <c r="V100" s="275">
        <f ca="1">IF(C100="",NA(),MATCH($B100&amp;$C100,'Smelter Look-up'!$J:$J,0))</f>
        <v>270</v>
      </c>
      <c r="W100" s="276"/>
      <c r="X100" s="276">
        <f t="shared" ca="1" si="13"/>
        <v>0</v>
      </c>
      <c r="Y100" s="276"/>
      <c r="Z100" s="276"/>
      <c r="AB100" s="278" t="str">
        <f t="shared" ca="1" si="14"/>
        <v>GoldWestern Australian Mint (T/a The Perth Mint)</v>
      </c>
    </row>
    <row r="101" spans="1:28" s="277" customFormat="1" ht="114.75">
      <c r="A101" s="216" t="s">
        <v>764</v>
      </c>
      <c r="B101" s="217" t="str">
        <f ca="1">IF(LEN(A101)=0,"",INDEX('Smelter Look-up'!$A:$A,MATCH($A101,'Smelter Look-up'!$E:$E,0)))</f>
        <v>Tantalum</v>
      </c>
      <c r="C101" s="221" t="str">
        <f ca="1">IF(LEN(A101)=0,"",INDEX('Smelter Look-up'!$C:$C,MATCH($A101,'Smelter Look-up'!$E:$E,0)))</f>
        <v>Changsha South Tantalum Niobium Co., Ltd.</v>
      </c>
      <c r="D101" s="283"/>
      <c r="E101" s="217" t="str">
        <f ca="1">IF(ISERROR($V101),"",OFFSET('Smelter Look-up'!$D$4,$V101-4,0)&amp;"")</f>
        <v>CHINA</v>
      </c>
      <c r="F101" s="217" t="str">
        <f ca="1">IF(ISERROR($V101),"",OFFSET('Smelter Look-up'!$E$4,$V101-4,0))</f>
        <v>CID000211</v>
      </c>
      <c r="G101" s="217" t="str">
        <f ca="1">IF(C101=$X$4,"Enter smelter details",IF(ISERROR($V101),"",OFFSET('Smelter Look-up'!$F$4,$V101-4,0)))</f>
        <v>RMI</v>
      </c>
      <c r="H101" s="218">
        <f ca="1">IF(ISERROR($V101),"",OFFSET('Smelter Look-up'!$G$4,$V101-4,0))</f>
        <v>0</v>
      </c>
      <c r="I101" s="219" t="str">
        <f ca="1">IF(ISERROR($V101),"",OFFSET('Smelter Look-up'!$H$4,$V101-4,0))</f>
        <v>Changsha</v>
      </c>
      <c r="J101" s="219" t="str">
        <f ca="1">IF(ISERROR($V101),"",OFFSET('Smelter Look-up'!$I$4,$V101-4,0))</f>
        <v>Hunan Sheng</v>
      </c>
      <c r="K101" s="273"/>
      <c r="L101" s="273"/>
      <c r="M101" s="273"/>
      <c r="N101" s="273"/>
      <c r="O101" s="273"/>
      <c r="P101" s="220"/>
      <c r="Q101" s="274"/>
      <c r="R101" s="217" t="str">
        <f ca="1">IF(ISERROR($V101),"",OFFSET('Smelter Look-up'!$C$4,$V101-4,0)&amp;"")</f>
        <v>Changsha South Tantalum Niobium Co., Ltd.</v>
      </c>
      <c r="S101" s="225" t="str">
        <f t="shared" ca="1" si="12"/>
        <v>CN</v>
      </c>
      <c r="T101" s="225" t="str">
        <f ca="1">IF(B101="","",IF(ISERROR(MATCH($J101,SorP!$B$1:$B$6230,0)),"",INDIRECT("'SorP'!$A$"&amp;MATCH($J101,SorP!$B$1:$B$6230,0))))</f>
        <v>CN-HN</v>
      </c>
      <c r="U101" s="241"/>
      <c r="V101" s="275">
        <f ca="1">IF(C101="",NA(),MATCH($B101&amp;$C101,'Smelter Look-up'!$J:$J,0))</f>
        <v>296</v>
      </c>
      <c r="W101" s="276"/>
      <c r="X101" s="276">
        <f t="shared" ca="1" si="13"/>
        <v>0</v>
      </c>
      <c r="Y101" s="276"/>
      <c r="Z101" s="276"/>
      <c r="AB101" s="278" t="str">
        <f t="shared" ca="1" si="14"/>
        <v>TantalumChangsha South Tantalum Niobium Co., Ltd.</v>
      </c>
    </row>
    <row r="102" spans="1:28" s="277" customFormat="1" ht="89.25">
      <c r="A102" s="216" t="s">
        <v>1437</v>
      </c>
      <c r="B102" s="217" t="str">
        <f ca="1">IF(LEN(A102)=0,"",INDEX('Smelter Look-up'!$A:$A,MATCH($A102,'Smelter Look-up'!$E:$E,0)))</f>
        <v>Tantalum</v>
      </c>
      <c r="C102" s="221" t="str">
        <f ca="1">IF(LEN(A102)=0,"",INDEX('Smelter Look-up'!$C:$C,MATCH($A102,'Smelter Look-up'!$E:$E,0)))</f>
        <v>Global Advanced Metals Boyertown</v>
      </c>
      <c r="D102" s="283"/>
      <c r="E102" s="217" t="str">
        <f ca="1">IF(ISERROR($V102),"",OFFSET('Smelter Look-up'!$D$4,$V102-4,0)&amp;"")</f>
        <v>UNITED STATES OF AMERICA</v>
      </c>
      <c r="F102" s="217" t="str">
        <f ca="1">IF(ISERROR($V102),"",OFFSET('Smelter Look-up'!$E$4,$V102-4,0))</f>
        <v>CID002557</v>
      </c>
      <c r="G102" s="217" t="str">
        <f ca="1">IF(C102=$X$4,"Enter smelter details",IF(ISERROR($V102),"",OFFSET('Smelter Look-up'!$F$4,$V102-4,0)))</f>
        <v>RMI</v>
      </c>
      <c r="H102" s="218">
        <f ca="1">IF(ISERROR($V102),"",OFFSET('Smelter Look-up'!$G$4,$V102-4,0))</f>
        <v>0</v>
      </c>
      <c r="I102" s="219" t="str">
        <f ca="1">IF(ISERROR($V102),"",OFFSET('Smelter Look-up'!$H$4,$V102-4,0))</f>
        <v>Boyertown</v>
      </c>
      <c r="J102" s="219" t="str">
        <f ca="1">IF(ISERROR($V102),"",OFFSET('Smelter Look-up'!$I$4,$V102-4,0))</f>
        <v>Pennsylvania</v>
      </c>
      <c r="K102" s="273"/>
      <c r="L102" s="273"/>
      <c r="M102" s="273"/>
      <c r="N102" s="273"/>
      <c r="O102" s="273"/>
      <c r="P102" s="220"/>
      <c r="Q102" s="274"/>
      <c r="R102" s="217" t="str">
        <f ca="1">IF(ISERROR($V102),"",OFFSET('Smelter Look-up'!$C$4,$V102-4,0)&amp;"")</f>
        <v>Global Advanced Metals Boyertown</v>
      </c>
      <c r="S102" s="225" t="str">
        <f t="shared" ref="S102:S132" ca="1" si="15">IF(B102="","",IF(ISERROR(MATCH($E102,CL,0)),"Unknown",INDIRECT("'C'!$A$"&amp;MATCH($E102,CL,0)+1)))</f>
        <v>US</v>
      </c>
      <c r="T102" s="225" t="str">
        <f ca="1">IF(B102="","",IF(ISERROR(MATCH($J102,SorP!$B$1:$B$6230,0)),"",INDIRECT("'SorP'!$A$"&amp;MATCH($J102,SorP!$B$1:$B$6230,0))))</f>
        <v>US-PA</v>
      </c>
      <c r="U102" s="241"/>
      <c r="V102" s="275">
        <f ca="1">IF(C102="",NA(),MATCH($B102&amp;$C102,'Smelter Look-up'!$J:$J,0))</f>
        <v>305</v>
      </c>
      <c r="W102" s="276"/>
      <c r="X102" s="276">
        <f t="shared" ref="X102:X132" ca="1" si="16">IF(AND(C102="Smelter not listed",OR(LEN(D102)=0,LEN(E102)=0)),1,0)</f>
        <v>0</v>
      </c>
      <c r="Y102" s="276"/>
      <c r="Z102" s="276"/>
      <c r="AB102" s="278" t="str">
        <f t="shared" ref="AB102:AB132" ca="1" si="17">B102&amp;C102</f>
        <v>TantalumGlobal Advanced Metals Boyertown</v>
      </c>
    </row>
    <row r="103" spans="1:28" s="277" customFormat="1" ht="51">
      <c r="A103" s="216" t="s">
        <v>1444</v>
      </c>
      <c r="B103" s="217" t="str">
        <f ca="1">IF(LEN(A103)=0,"",INDEX('Smelter Look-up'!$A:$A,MATCH($A103,'Smelter Look-up'!$E:$E,0)))</f>
        <v>Tantalum</v>
      </c>
      <c r="C103" s="221" t="str">
        <f ca="1">IF(LEN(A103)=0,"",INDEX('Smelter Look-up'!$C:$C,MATCH($A103,'Smelter Look-up'!$E:$E,0)))</f>
        <v>H.C. Starck Inc.</v>
      </c>
      <c r="D103" s="283"/>
      <c r="E103" s="217" t="str">
        <f ca="1">IF(ISERROR($V103),"",OFFSET('Smelter Look-up'!$D$4,$V103-4,0)&amp;"")</f>
        <v>UNITED STATES OF AMERICA</v>
      </c>
      <c r="F103" s="217" t="str">
        <f ca="1">IF(ISERROR($V103),"",OFFSET('Smelter Look-up'!$E$4,$V103-4,0))</f>
        <v>CID002548</v>
      </c>
      <c r="G103" s="217" t="str">
        <f ca="1">IF(C103=$X$4,"Enter smelter details",IF(ISERROR($V103),"",OFFSET('Smelter Look-up'!$F$4,$V103-4,0)))</f>
        <v>RMI</v>
      </c>
      <c r="H103" s="218">
        <f ca="1">IF(ISERROR($V103),"",OFFSET('Smelter Look-up'!$G$4,$V103-4,0))</f>
        <v>0</v>
      </c>
      <c r="I103" s="219" t="str">
        <f ca="1">IF(ISERROR($V103),"",OFFSET('Smelter Look-up'!$H$4,$V103-4,0))</f>
        <v>Newton</v>
      </c>
      <c r="J103" s="219" t="str">
        <f ca="1">IF(ISERROR($V103),"",OFFSET('Smelter Look-up'!$I$4,$V103-4,0))</f>
        <v>Massachusetts</v>
      </c>
      <c r="K103" s="273"/>
      <c r="L103" s="273"/>
      <c r="M103" s="273"/>
      <c r="N103" s="273"/>
      <c r="O103" s="273"/>
      <c r="P103" s="220"/>
      <c r="Q103" s="274"/>
      <c r="R103" s="217" t="str">
        <f ca="1">IF(ISERROR($V103),"",OFFSET('Smelter Look-up'!$C$4,$V103-4,0)&amp;"")</f>
        <v>H.C. Starck Inc.</v>
      </c>
      <c r="S103" s="225" t="str">
        <f t="shared" ca="1" si="15"/>
        <v>US</v>
      </c>
      <c r="T103" s="225" t="str">
        <f ca="1">IF(B103="","",IF(ISERROR(MATCH($J103,SorP!$B$1:$B$6230,0)),"",INDIRECT("'SorP'!$A$"&amp;MATCH($J103,SorP!$B$1:$B$6230,0))))</f>
        <v>US-MA</v>
      </c>
      <c r="U103" s="241"/>
      <c r="V103" s="275">
        <f ca="1">IF(C103="",NA(),MATCH($B103&amp;$C103,'Smelter Look-up'!$J:$J,0))</f>
        <v>309</v>
      </c>
      <c r="W103" s="276"/>
      <c r="X103" s="276">
        <f t="shared" ca="1" si="16"/>
        <v>0</v>
      </c>
      <c r="Y103" s="276"/>
      <c r="Z103" s="276"/>
      <c r="AB103" s="278" t="str">
        <f t="shared" ca="1" si="17"/>
        <v>TantalumH.C. Starck Inc.</v>
      </c>
    </row>
    <row r="104" spans="1:28" s="277" customFormat="1" ht="76.5">
      <c r="A104" s="216" t="s">
        <v>782</v>
      </c>
      <c r="B104" s="217" t="str">
        <f ca="1">IF(LEN(A104)=0,"",INDEX('Smelter Look-up'!$A:$A,MATCH($A104,'Smelter Look-up'!$E:$E,0)))</f>
        <v>Tantalum</v>
      </c>
      <c r="C104" s="221" t="str">
        <f ca="1">IF(LEN(A104)=0,"",INDEX('Smelter Look-up'!$C:$C,MATCH($A104,'Smelter Look-up'!$E:$E,0)))</f>
        <v>Ulba Metallurgical Plant JSC</v>
      </c>
      <c r="D104" s="283"/>
      <c r="E104" s="217" t="str">
        <f ca="1">IF(ISERROR($V104),"",OFFSET('Smelter Look-up'!$D$4,$V104-4,0)&amp;"")</f>
        <v>KAZAKHSTAN</v>
      </c>
      <c r="F104" s="217" t="str">
        <f ca="1">IF(ISERROR($V104),"",OFFSET('Smelter Look-up'!$E$4,$V104-4,0))</f>
        <v>CID001969</v>
      </c>
      <c r="G104" s="217" t="str">
        <f ca="1">IF(C104=$X$4,"Enter smelter details",IF(ISERROR($V104),"",OFFSET('Smelter Look-up'!$F$4,$V104-4,0)))</f>
        <v>RMI</v>
      </c>
      <c r="H104" s="218">
        <f ca="1">IF(ISERROR($V104),"",OFFSET('Smelter Look-up'!$G$4,$V104-4,0))</f>
        <v>0</v>
      </c>
      <c r="I104" s="219" t="str">
        <f ca="1">IF(ISERROR($V104),"",OFFSET('Smelter Look-up'!$H$4,$V104-4,0))</f>
        <v>Ust-Kamenogorsk</v>
      </c>
      <c r="J104" s="219" t="str">
        <f ca="1">IF(ISERROR($V104),"",OFFSET('Smelter Look-up'!$I$4,$V104-4,0))</f>
        <v>Qaraghandy oblysy</v>
      </c>
      <c r="K104" s="273"/>
      <c r="L104" s="273"/>
      <c r="M104" s="273"/>
      <c r="N104" s="273"/>
      <c r="O104" s="273"/>
      <c r="P104" s="220"/>
      <c r="Q104" s="274"/>
      <c r="R104" s="217" t="str">
        <f ca="1">IF(ISERROR($V104),"",OFFSET('Smelter Look-up'!$C$4,$V104-4,0)&amp;"")</f>
        <v>Ulba Metallurgical Plant JSC</v>
      </c>
      <c r="S104" s="225" t="str">
        <f t="shared" ca="1" si="15"/>
        <v>KZ</v>
      </c>
      <c r="T104" s="225" t="str">
        <f ca="1">IF(B104="","",IF(ISERROR(MATCH($J104,SorP!$B$1:$B$6230,0)),"",INDIRECT("'SorP'!$A$"&amp;MATCH($J104,SorP!$B$1:$B$6230,0))))</f>
        <v>KZ-KAR</v>
      </c>
      <c r="U104" s="241"/>
      <c r="V104" s="275">
        <f ca="1">IF(C104="",NA(),MATCH($B104&amp;$C104,'Smelter Look-up'!$J:$J,0))</f>
        <v>349</v>
      </c>
      <c r="W104" s="276"/>
      <c r="X104" s="276">
        <f t="shared" ca="1" si="16"/>
        <v>0</v>
      </c>
      <c r="Y104" s="276"/>
      <c r="Z104" s="276"/>
      <c r="AB104" s="278" t="str">
        <f t="shared" ca="1" si="17"/>
        <v>TantalumUlba Metallurgical Plant JSC</v>
      </c>
    </row>
    <row r="105" spans="1:28" s="277" customFormat="1" ht="102">
      <c r="A105" s="216" t="s">
        <v>776</v>
      </c>
      <c r="B105" s="217" t="str">
        <f ca="1">IF(LEN(A105)=0,"",INDEX('Smelter Look-up'!$A:$A,MATCH($A105,'Smelter Look-up'!$E:$E,0)))</f>
        <v>Tantalum</v>
      </c>
      <c r="C105" s="221" t="str">
        <f ca="1">IF(LEN(A105)=0,"",INDEX('Smelter Look-up'!$C:$C,MATCH($A105,'Smelter Look-up'!$E:$E,0)))</f>
        <v>Ningxia Orient Tantalum Industry Co., Ltd.</v>
      </c>
      <c r="D105" s="283"/>
      <c r="E105" s="217" t="str">
        <f ca="1">IF(ISERROR($V105),"",OFFSET('Smelter Look-up'!$D$4,$V105-4,0)&amp;"")</f>
        <v>CHINA</v>
      </c>
      <c r="F105" s="217" t="str">
        <f ca="1">IF(ISERROR($V105),"",OFFSET('Smelter Look-up'!$E$4,$V105-4,0))</f>
        <v>CID001277</v>
      </c>
      <c r="G105" s="217" t="str">
        <f ca="1">IF(C105=$X$4,"Enter smelter details",IF(ISERROR($V105),"",OFFSET('Smelter Look-up'!$F$4,$V105-4,0)))</f>
        <v>RMI</v>
      </c>
      <c r="H105" s="218">
        <f ca="1">IF(ISERROR($V105),"",OFFSET('Smelter Look-up'!$G$4,$V105-4,0))</f>
        <v>0</v>
      </c>
      <c r="I105" s="219" t="str">
        <f ca="1">IF(ISERROR($V105),"",OFFSET('Smelter Look-up'!$H$4,$V105-4,0))</f>
        <v>Shizuishan City</v>
      </c>
      <c r="J105" s="219" t="str">
        <f ca="1">IF(ISERROR($V105),"",OFFSET('Smelter Look-up'!$I$4,$V105-4,0))</f>
        <v>Ningxia Huizi Zizhiqu</v>
      </c>
      <c r="K105" s="273"/>
      <c r="L105" s="273"/>
      <c r="M105" s="273"/>
      <c r="N105" s="273"/>
      <c r="O105" s="273"/>
      <c r="P105" s="220"/>
      <c r="Q105" s="274"/>
      <c r="R105" s="217" t="str">
        <f ca="1">IF(ISERROR($V105),"",OFFSET('Smelter Look-up'!$C$4,$V105-4,0)&amp;"")</f>
        <v>Ningxia Orient Tantalum Industry Co., Ltd.</v>
      </c>
      <c r="S105" s="225" t="str">
        <f t="shared" ca="1" si="15"/>
        <v>CN</v>
      </c>
      <c r="T105" s="225" t="str">
        <f ca="1">IF(B105="","",IF(ISERROR(MATCH($J105,SorP!$B$1:$B$6230,0)),"",INDIRECT("'SorP'!$A$"&amp;MATCH($J105,SorP!$B$1:$B$6230,0))))</f>
        <v>CN-NX</v>
      </c>
      <c r="U105" s="241"/>
      <c r="V105" s="275">
        <f ca="1">IF(C105="",NA(),MATCH($B105&amp;$C105,'Smelter Look-up'!$J:$J,0))</f>
        <v>331</v>
      </c>
      <c r="W105" s="276"/>
      <c r="X105" s="276">
        <f t="shared" ca="1" si="16"/>
        <v>0</v>
      </c>
      <c r="Y105" s="276"/>
      <c r="Z105" s="276"/>
      <c r="AB105" s="278" t="str">
        <f t="shared" ca="1" si="17"/>
        <v>TantalumNingxia Orient Tantalum Industry Co., Ltd.</v>
      </c>
    </row>
    <row r="106" spans="1:28" s="277" customFormat="1" ht="63.75">
      <c r="A106" s="216" t="s">
        <v>766</v>
      </c>
      <c r="B106" s="217" t="str">
        <f ca="1">IF(LEN(A106)=0,"",INDEX('Smelter Look-up'!$A:$A,MATCH($A106,'Smelter Look-up'!$E:$E,0)))</f>
        <v>Tantalum</v>
      </c>
      <c r="C106" s="221" t="str">
        <f ca="1">IF(LEN(A106)=0,"",INDEX('Smelter Look-up'!$C:$C,MATCH($A106,'Smelter Look-up'!$E:$E,0)))</f>
        <v>F&amp;X Electro-Materials Ltd.</v>
      </c>
      <c r="D106" s="283"/>
      <c r="E106" s="217" t="str">
        <f ca="1">IF(ISERROR($V106),"",OFFSET('Smelter Look-up'!$D$4,$V106-4,0)&amp;"")</f>
        <v>CHINA</v>
      </c>
      <c r="F106" s="217" t="str">
        <f ca="1">IF(ISERROR($V106),"",OFFSET('Smelter Look-up'!$E$4,$V106-4,0))</f>
        <v>CID000460</v>
      </c>
      <c r="G106" s="217" t="str">
        <f ca="1">IF(C106=$X$4,"Enter smelter details",IF(ISERROR($V106),"",OFFSET('Smelter Look-up'!$F$4,$V106-4,0)))</f>
        <v>RMI</v>
      </c>
      <c r="H106" s="218">
        <f ca="1">IF(ISERROR($V106),"",OFFSET('Smelter Look-up'!$G$4,$V106-4,0))</f>
        <v>0</v>
      </c>
      <c r="I106" s="219" t="str">
        <f ca="1">IF(ISERROR($V106),"",OFFSET('Smelter Look-up'!$H$4,$V106-4,0))</f>
        <v>Jiangmen</v>
      </c>
      <c r="J106" s="219" t="str">
        <f ca="1">IF(ISERROR($V106),"",OFFSET('Smelter Look-up'!$I$4,$V106-4,0))</f>
        <v>Guangdong Sheng</v>
      </c>
      <c r="K106" s="273"/>
      <c r="L106" s="273"/>
      <c r="M106" s="273"/>
      <c r="N106" s="273"/>
      <c r="O106" s="273"/>
      <c r="P106" s="220"/>
      <c r="Q106" s="274"/>
      <c r="R106" s="217" t="str">
        <f ca="1">IF(ISERROR($V106),"",OFFSET('Smelter Look-up'!$C$4,$V106-4,0)&amp;"")</f>
        <v>F&amp;X Electro-Materials Ltd.</v>
      </c>
      <c r="S106" s="225" t="str">
        <f t="shared" ca="1" si="15"/>
        <v>CN</v>
      </c>
      <c r="T106" s="225" t="str">
        <f ca="1">IF(B106="","",IF(ISERROR(MATCH($J106,SorP!$B$1:$B$6230,0)),"",INDIRECT("'SorP'!$A$"&amp;MATCH($J106,SorP!$B$1:$B$6230,0))))</f>
        <v>CN-GD</v>
      </c>
      <c r="U106" s="241"/>
      <c r="V106" s="275">
        <f ca="1">IF(C106="",NA(),MATCH($B106&amp;$C106,'Smelter Look-up'!$J:$J,0))</f>
        <v>302</v>
      </c>
      <c r="W106" s="276"/>
      <c r="X106" s="276">
        <f t="shared" ca="1" si="16"/>
        <v>0</v>
      </c>
      <c r="Y106" s="276"/>
      <c r="Z106" s="276"/>
      <c r="AB106" s="278" t="str">
        <f t="shared" ca="1" si="17"/>
        <v>TantalumF&amp;X Electro-Materials Ltd.</v>
      </c>
    </row>
    <row r="107" spans="1:28" s="277" customFormat="1" ht="63.75">
      <c r="A107" s="216" t="s">
        <v>1439</v>
      </c>
      <c r="B107" s="217" t="str">
        <f ca="1">IF(LEN(A107)=0,"",INDEX('Smelter Look-up'!$A:$A,MATCH($A107,'Smelter Look-up'!$E:$E,0)))</f>
        <v>Tantalum</v>
      </c>
      <c r="C107" s="221" t="str">
        <f ca="1">IF(LEN(A107)=0,"",INDEX('Smelter Look-up'!$C:$C,MATCH($A107,'Smelter Look-up'!$E:$E,0)))</f>
        <v>H.C. Starck Co., Ltd.</v>
      </c>
      <c r="D107" s="283"/>
      <c r="E107" s="217" t="str">
        <f ca="1">IF(ISERROR($V107),"",OFFSET('Smelter Look-up'!$D$4,$V107-4,0)&amp;"")</f>
        <v>THAILAND</v>
      </c>
      <c r="F107" s="217" t="str">
        <f ca="1">IF(ISERROR($V107),"",OFFSET('Smelter Look-up'!$E$4,$V107-4,0))</f>
        <v>CID002544</v>
      </c>
      <c r="G107" s="217" t="str">
        <f ca="1">IF(C107=$X$4,"Enter smelter details",IF(ISERROR($V107),"",OFFSET('Smelter Look-up'!$F$4,$V107-4,0)))</f>
        <v>RMI</v>
      </c>
      <c r="H107" s="218">
        <f ca="1">IF(ISERROR($V107),"",OFFSET('Smelter Look-up'!$G$4,$V107-4,0))</f>
        <v>0</v>
      </c>
      <c r="I107" s="219" t="str">
        <f ca="1">IF(ISERROR($V107),"",OFFSET('Smelter Look-up'!$H$4,$V107-4,0))</f>
        <v>Map Ta Phut</v>
      </c>
      <c r="J107" s="219" t="str">
        <f ca="1">IF(ISERROR($V107),"",OFFSET('Smelter Look-up'!$I$4,$V107-4,0))</f>
        <v>Rayong</v>
      </c>
      <c r="K107" s="273"/>
      <c r="L107" s="273"/>
      <c r="M107" s="273"/>
      <c r="N107" s="273"/>
      <c r="O107" s="273"/>
      <c r="P107" s="220"/>
      <c r="Q107" s="274"/>
      <c r="R107" s="217" t="str">
        <f ca="1">IF(ISERROR($V107),"",OFFSET('Smelter Look-up'!$C$4,$V107-4,0)&amp;"")</f>
        <v>H.C. Starck Co., Ltd.</v>
      </c>
      <c r="S107" s="225" t="str">
        <f t="shared" ca="1" si="15"/>
        <v>TH</v>
      </c>
      <c r="T107" s="225" t="str">
        <f ca="1">IF(B107="","",IF(ISERROR(MATCH($J107,SorP!$B$1:$B$6230,0)),"",INDIRECT("'SorP'!$A$"&amp;MATCH($J107,SorP!$B$1:$B$6230,0))))</f>
        <v>TH-21</v>
      </c>
      <c r="U107" s="241"/>
      <c r="V107" s="275">
        <f ca="1">IF(C107="",NA(),MATCH($B107&amp;$C107,'Smelter Look-up'!$J:$J,0))</f>
        <v>307</v>
      </c>
      <c r="W107" s="276"/>
      <c r="X107" s="276">
        <f t="shared" ca="1" si="16"/>
        <v>0</v>
      </c>
      <c r="Y107" s="276"/>
      <c r="Z107" s="276"/>
      <c r="AB107" s="278" t="str">
        <f t="shared" ca="1" si="17"/>
        <v>TantalumH.C. Starck Co., Ltd.</v>
      </c>
    </row>
    <row r="108" spans="1:28" s="277" customFormat="1" ht="114.75">
      <c r="A108" s="216" t="s">
        <v>15517</v>
      </c>
      <c r="B108" s="217" t="s">
        <v>1155</v>
      </c>
      <c r="C108" s="348" t="s">
        <v>15518</v>
      </c>
      <c r="D108" s="217"/>
      <c r="E108" s="217" t="s">
        <v>1123</v>
      </c>
      <c r="F108" s="217" t="s">
        <v>15517</v>
      </c>
      <c r="G108" s="217" t="s">
        <v>13577</v>
      </c>
      <c r="H108" s="349">
        <v>0</v>
      </c>
      <c r="I108" s="350" t="s">
        <v>15519</v>
      </c>
      <c r="J108" s="350" t="s">
        <v>13971</v>
      </c>
      <c r="K108" s="351"/>
      <c r="L108" s="273"/>
      <c r="M108" s="273"/>
      <c r="N108" s="273"/>
      <c r="O108" s="273"/>
      <c r="P108" s="220"/>
      <c r="Q108" s="274"/>
      <c r="R108" s="217" t="str">
        <f ca="1">IF(ISERROR($V108),"",OFFSET('Smelter Look-up'!$C$4,$V108-4,0)&amp;"")</f>
        <v/>
      </c>
      <c r="S108" s="225" t="str">
        <f t="shared" ca="1" si="15"/>
        <v>CN</v>
      </c>
      <c r="T108" s="225" t="str">
        <f ca="1">IF(B108="","",IF(ISERROR(MATCH($J108,SorP!$B$1:$B$6230,0)),"",INDIRECT("'SorP'!$A$"&amp;MATCH($J108,SorP!$B$1:$B$6230,0))))</f>
        <v>CN-GD</v>
      </c>
      <c r="U108" s="241"/>
      <c r="V108" s="275" t="e">
        <f>IF(C108="",NA(),MATCH($B108&amp;$C108,'Smelter Look-up'!$J:$J,0))</f>
        <v>#N/A</v>
      </c>
      <c r="W108" s="276"/>
      <c r="X108" s="276">
        <f t="shared" si="16"/>
        <v>0</v>
      </c>
      <c r="Y108" s="276"/>
      <c r="Z108" s="276"/>
      <c r="AB108" s="278" t="str">
        <f t="shared" si="17"/>
        <v>TantalumGuangdong Rising Rare Metals-EO Materials Ltd.</v>
      </c>
    </row>
    <row r="109" spans="1:28" s="277" customFormat="1" ht="38.25">
      <c r="A109" s="216" t="s">
        <v>765</v>
      </c>
      <c r="B109" s="217" t="str">
        <f ca="1">IF(LEN(A109)=0,"",INDEX('Smelter Look-up'!$A:$A,MATCH($A109,'Smelter Look-up'!$E:$E,0)))</f>
        <v>Tantalum</v>
      </c>
      <c r="C109" s="221" t="str">
        <f ca="1">IF(LEN(A109)=0,"",INDEX('Smelter Look-up'!$C:$C,MATCH($A109,'Smelter Look-up'!$E:$E,0)))</f>
        <v>Exotech Inc.</v>
      </c>
      <c r="D109" s="283"/>
      <c r="E109" s="217" t="str">
        <f ca="1">IF(ISERROR($V109),"",OFFSET('Smelter Look-up'!$D$4,$V109-4,0)&amp;"")</f>
        <v>UNITED STATES OF AMERICA</v>
      </c>
      <c r="F109" s="217" t="str">
        <f ca="1">IF(ISERROR($V109),"",OFFSET('Smelter Look-up'!$E$4,$V109-4,0))</f>
        <v>CID000456</v>
      </c>
      <c r="G109" s="217" t="str">
        <f ca="1">IF(C109=$X$4,"Enter smelter details",IF(ISERROR($V109),"",OFFSET('Smelter Look-up'!$F$4,$V109-4,0)))</f>
        <v>RMI</v>
      </c>
      <c r="H109" s="218">
        <f ca="1">IF(ISERROR($V109),"",OFFSET('Smelter Look-up'!$G$4,$V109-4,0))</f>
        <v>0</v>
      </c>
      <c r="I109" s="219" t="str">
        <f ca="1">IF(ISERROR($V109),"",OFFSET('Smelter Look-up'!$H$4,$V109-4,0))</f>
        <v>Pompano Beach</v>
      </c>
      <c r="J109" s="219" t="str">
        <f ca="1">IF(ISERROR($V109),"",OFFSET('Smelter Look-up'!$I$4,$V109-4,0))</f>
        <v>Florida</v>
      </c>
      <c r="K109" s="273"/>
      <c r="L109" s="273"/>
      <c r="M109" s="273"/>
      <c r="N109" s="273"/>
      <c r="O109" s="273"/>
      <c r="P109" s="220"/>
      <c r="Q109" s="274"/>
      <c r="R109" s="217" t="str">
        <f ca="1">IF(ISERROR($V109),"",OFFSET('Smelter Look-up'!$C$4,$V109-4,0)&amp;"")</f>
        <v>Exotech Inc.</v>
      </c>
      <c r="S109" s="225" t="str">
        <f t="shared" ca="1" si="15"/>
        <v>US</v>
      </c>
      <c r="T109" s="225" t="str">
        <f ca="1">IF(B109="","",IF(ISERROR(MATCH($J109,SorP!$B$1:$B$6230,0)),"",INDIRECT("'SorP'!$A$"&amp;MATCH($J109,SorP!$B$1:$B$6230,0))))</f>
        <v>US-FL</v>
      </c>
      <c r="U109" s="241"/>
      <c r="V109" s="275">
        <f ca="1">IF(C109="",NA(),MATCH($B109&amp;$C109,'Smelter Look-up'!$J:$J,0))</f>
        <v>300</v>
      </c>
      <c r="W109" s="276"/>
      <c r="X109" s="276">
        <f t="shared" ca="1" si="16"/>
        <v>0</v>
      </c>
      <c r="Y109" s="276"/>
      <c r="Z109" s="276"/>
      <c r="AB109" s="278" t="str">
        <f t="shared" ca="1" si="17"/>
        <v>TantalumExotech Inc.</v>
      </c>
    </row>
    <row r="110" spans="1:28" s="277" customFormat="1" ht="102">
      <c r="A110" s="216" t="s">
        <v>768</v>
      </c>
      <c r="B110" s="217" t="str">
        <f ca="1">IF(LEN(A110)=0,"",INDEX('Smelter Look-up'!$A:$A,MATCH($A110,'Smelter Look-up'!$E:$E,0)))</f>
        <v>Tantalum</v>
      </c>
      <c r="C110" s="221" t="str">
        <f ca="1">IF(LEN(A110)=0,"",INDEX('Smelter Look-up'!$C:$C,MATCH($A110,'Smelter Look-up'!$E:$E,0)))</f>
        <v>Guangdong Zhiyuan New Material Co., Ltd.</v>
      </c>
      <c r="D110" s="283"/>
      <c r="E110" s="217" t="str">
        <f ca="1">IF(ISERROR($V110),"",OFFSET('Smelter Look-up'!$D$4,$V110-4,0)&amp;"")</f>
        <v>CHINA</v>
      </c>
      <c r="F110" s="217" t="str">
        <f ca="1">IF(ISERROR($V110),"",OFFSET('Smelter Look-up'!$E$4,$V110-4,0))</f>
        <v>CID000616</v>
      </c>
      <c r="G110" s="217" t="str">
        <f ca="1">IF(C110=$X$4,"Enter smelter details",IF(ISERROR($V110),"",OFFSET('Smelter Look-up'!$F$4,$V110-4,0)))</f>
        <v>RMI</v>
      </c>
      <c r="H110" s="218">
        <f ca="1">IF(ISERROR($V110),"",OFFSET('Smelter Look-up'!$G$4,$V110-4,0))</f>
        <v>0</v>
      </c>
      <c r="I110" s="219" t="str">
        <f ca="1">IF(ISERROR($V110),"",OFFSET('Smelter Look-up'!$H$4,$V110-4,0))</f>
        <v>Yingde</v>
      </c>
      <c r="J110" s="219" t="str">
        <f ca="1">IF(ISERROR($V110),"",OFFSET('Smelter Look-up'!$I$4,$V110-4,0))</f>
        <v>Guangdong Sheng</v>
      </c>
      <c r="K110" s="273"/>
      <c r="L110" s="273"/>
      <c r="M110" s="273"/>
      <c r="N110" s="273"/>
      <c r="O110" s="273"/>
      <c r="P110" s="220"/>
      <c r="Q110" s="274"/>
      <c r="R110" s="217" t="str">
        <f ca="1">IF(ISERROR($V110),"",OFFSET('Smelter Look-up'!$C$4,$V110-4,0)&amp;"")</f>
        <v>Guangdong Zhiyuan New Material Co., Ltd.</v>
      </c>
      <c r="S110" s="225" t="str">
        <f t="shared" ca="1" si="15"/>
        <v>CN</v>
      </c>
      <c r="T110" s="225" t="str">
        <f ca="1">IF(B110="","",IF(ISERROR(MATCH($J110,SorP!$B$1:$B$6230,0)),"",INDIRECT("'SorP'!$A$"&amp;MATCH($J110,SorP!$B$1:$B$6230,0))))</f>
        <v>CN-GD</v>
      </c>
      <c r="U110" s="241"/>
      <c r="V110" s="275">
        <f ca="1">IF(C110="",NA(),MATCH($B110&amp;$C110,'Smelter Look-up'!$J:$J,0))</f>
        <v>306</v>
      </c>
      <c r="W110" s="276"/>
      <c r="X110" s="276">
        <f t="shared" ca="1" si="16"/>
        <v>0</v>
      </c>
      <c r="Y110" s="276"/>
      <c r="Z110" s="276"/>
      <c r="AB110" s="278" t="str">
        <f t="shared" ca="1" si="17"/>
        <v>TantalumGuangdong Zhiyuan New Material Co., Ltd.</v>
      </c>
    </row>
    <row r="111" spans="1:28" s="277" customFormat="1" ht="102">
      <c r="A111" s="216" t="s">
        <v>769</v>
      </c>
      <c r="B111" s="217" t="str">
        <f ca="1">IF(LEN(A111)=0,"",INDEX('Smelter Look-up'!$A:$A,MATCH($A111,'Smelter Look-up'!$E:$E,0)))</f>
        <v>Tantalum</v>
      </c>
      <c r="C111" s="221" t="str">
        <f ca="1">IF(LEN(A111)=0,"",INDEX('Smelter Look-up'!$C:$C,MATCH($A111,'Smelter Look-up'!$E:$E,0)))</f>
        <v>JiuJiang JinXin Nonferrous Metals Co., Ltd.</v>
      </c>
      <c r="D111" s="283"/>
      <c r="E111" s="217" t="str">
        <f ca="1">IF(ISERROR($V111),"",OFFSET('Smelter Look-up'!$D$4,$V111-4,0)&amp;"")</f>
        <v>CHINA</v>
      </c>
      <c r="F111" s="217" t="str">
        <f ca="1">IF(ISERROR($V111),"",OFFSET('Smelter Look-up'!$E$4,$V111-4,0))</f>
        <v>CID000914</v>
      </c>
      <c r="G111" s="217" t="str">
        <f ca="1">IF(C111=$X$4,"Enter smelter details",IF(ISERROR($V111),"",OFFSET('Smelter Look-up'!$F$4,$V111-4,0)))</f>
        <v>RMI</v>
      </c>
      <c r="H111" s="218">
        <f ca="1">IF(ISERROR($V111),"",OFFSET('Smelter Look-up'!$G$4,$V111-4,0))</f>
        <v>0</v>
      </c>
      <c r="I111" s="219" t="str">
        <f ca="1">IF(ISERROR($V111),"",OFFSET('Smelter Look-up'!$H$4,$V111-4,0))</f>
        <v>Jiujiang</v>
      </c>
      <c r="J111" s="219" t="str">
        <f ca="1">IF(ISERROR($V111),"",OFFSET('Smelter Look-up'!$I$4,$V111-4,0))</f>
        <v>Jiangxi Sheng</v>
      </c>
      <c r="K111" s="273"/>
      <c r="L111" s="273"/>
      <c r="M111" s="273"/>
      <c r="N111" s="273"/>
      <c r="O111" s="273"/>
      <c r="P111" s="220"/>
      <c r="Q111" s="274"/>
      <c r="R111" s="217" t="str">
        <f ca="1">IF(ISERROR($V111),"",OFFSET('Smelter Look-up'!$C$4,$V111-4,0)&amp;"")</f>
        <v>JiuJiang JinXin Nonferrous Metals Co., Ltd.</v>
      </c>
      <c r="S111" s="225" t="str">
        <f t="shared" ca="1" si="15"/>
        <v>CN</v>
      </c>
      <c r="T111" s="225" t="str">
        <f ca="1">IF(B111="","",IF(ISERROR(MATCH($J111,SorP!$B$1:$B$6230,0)),"",INDIRECT("'SorP'!$A$"&amp;MATCH($J111,SorP!$B$1:$B$6230,0))))</f>
        <v>CN-JX</v>
      </c>
      <c r="U111" s="241"/>
      <c r="V111" s="275">
        <f ca="1">IF(C111="",NA(),MATCH($B111&amp;$C111,'Smelter Look-up'!$J:$J,0))</f>
        <v>316</v>
      </c>
      <c r="W111" s="276"/>
      <c r="X111" s="276">
        <f t="shared" ca="1" si="16"/>
        <v>0</v>
      </c>
      <c r="Y111" s="276"/>
      <c r="Z111" s="276"/>
      <c r="AB111" s="278" t="str">
        <f t="shared" ca="1" si="17"/>
        <v>TantalumJiuJiang JinXin Nonferrous Metals Co., Ltd.</v>
      </c>
    </row>
    <row r="112" spans="1:28" s="277" customFormat="1" ht="76.5">
      <c r="A112" s="216" t="s">
        <v>770</v>
      </c>
      <c r="B112" s="217" t="str">
        <f ca="1">IF(LEN(A112)=0,"",INDEX('Smelter Look-up'!$A:$A,MATCH($A112,'Smelter Look-up'!$E:$E,0)))</f>
        <v>Tantalum</v>
      </c>
      <c r="C112" s="221" t="str">
        <f ca="1">IF(LEN(A112)=0,"",INDEX('Smelter Look-up'!$C:$C,MATCH($A112,'Smelter Look-up'!$E:$E,0)))</f>
        <v>Jiujiang Tanbre Co., Ltd.</v>
      </c>
      <c r="D112" s="283"/>
      <c r="E112" s="217" t="str">
        <f ca="1">IF(ISERROR($V112),"",OFFSET('Smelter Look-up'!$D$4,$V112-4,0)&amp;"")</f>
        <v>CHINA</v>
      </c>
      <c r="F112" s="217" t="str">
        <f ca="1">IF(ISERROR($V112),"",OFFSET('Smelter Look-up'!$E$4,$V112-4,0))</f>
        <v>CID000917</v>
      </c>
      <c r="G112" s="217" t="str">
        <f ca="1">IF(C112=$X$4,"Enter smelter details",IF(ISERROR($V112),"",OFFSET('Smelter Look-up'!$F$4,$V112-4,0)))</f>
        <v>RMI</v>
      </c>
      <c r="H112" s="218">
        <f ca="1">IF(ISERROR($V112),"",OFFSET('Smelter Look-up'!$G$4,$V112-4,0))</f>
        <v>0</v>
      </c>
      <c r="I112" s="219" t="str">
        <f ca="1">IF(ISERROR($V112),"",OFFSET('Smelter Look-up'!$H$4,$V112-4,0))</f>
        <v>Jiujiang</v>
      </c>
      <c r="J112" s="219" t="str">
        <f ca="1">IF(ISERROR($V112),"",OFFSET('Smelter Look-up'!$I$4,$V112-4,0))</f>
        <v>Jiangxi Sheng</v>
      </c>
      <c r="K112" s="273"/>
      <c r="L112" s="273"/>
      <c r="M112" s="273"/>
      <c r="N112" s="273"/>
      <c r="O112" s="273"/>
      <c r="P112" s="220"/>
      <c r="Q112" s="274"/>
      <c r="R112" s="217" t="str">
        <f ca="1">IF(ISERROR($V112),"",OFFSET('Smelter Look-up'!$C$4,$V112-4,0)&amp;"")</f>
        <v>Jiujiang Tanbre Co., Ltd.</v>
      </c>
      <c r="S112" s="225" t="str">
        <f t="shared" ca="1" si="15"/>
        <v>CN</v>
      </c>
      <c r="T112" s="225" t="str">
        <f ca="1">IF(B112="","",IF(ISERROR(MATCH($J112,SorP!$B$1:$B$6230,0)),"",INDIRECT("'SorP'!$A$"&amp;MATCH($J112,SorP!$B$1:$B$6230,0))))</f>
        <v>CN-JX</v>
      </c>
      <c r="U112" s="241"/>
      <c r="V112" s="275">
        <f ca="1">IF(C112="",NA(),MATCH($B112&amp;$C112,'Smelter Look-up'!$J:$J,0))</f>
        <v>318</v>
      </c>
      <c r="W112" s="276"/>
      <c r="X112" s="276">
        <f t="shared" ca="1" si="16"/>
        <v>0</v>
      </c>
      <c r="Y112" s="276"/>
      <c r="Z112" s="276"/>
      <c r="AB112" s="278" t="str">
        <f t="shared" ca="1" si="17"/>
        <v>TantalumJiujiang Tanbre Co., Ltd.</v>
      </c>
    </row>
    <row r="113" spans="1:28" s="277" customFormat="1" ht="51">
      <c r="A113" s="216" t="s">
        <v>771</v>
      </c>
      <c r="B113" s="217" t="str">
        <f ca="1">IF(LEN(A113)=0,"",INDEX('Smelter Look-up'!$A:$A,MATCH($A113,'Smelter Look-up'!$E:$E,0)))</f>
        <v>Tantalum</v>
      </c>
      <c r="C113" s="221" t="str">
        <f ca="1">IF(LEN(A113)=0,"",INDEX('Smelter Look-up'!$C:$C,MATCH($A113,'Smelter Look-up'!$E:$E,0)))</f>
        <v>LSM Brasil S.A.</v>
      </c>
      <c r="D113" s="283"/>
      <c r="E113" s="217" t="str">
        <f ca="1">IF(ISERROR($V113),"",OFFSET('Smelter Look-up'!$D$4,$V113-4,0)&amp;"")</f>
        <v>BRAZIL</v>
      </c>
      <c r="F113" s="217" t="str">
        <f ca="1">IF(ISERROR($V113),"",OFFSET('Smelter Look-up'!$E$4,$V113-4,0))</f>
        <v>CID001076</v>
      </c>
      <c r="G113" s="217" t="str">
        <f ca="1">IF(C113=$X$4,"Enter smelter details",IF(ISERROR($V113),"",OFFSET('Smelter Look-up'!$F$4,$V113-4,0)))</f>
        <v>RMI</v>
      </c>
      <c r="H113" s="218">
        <f ca="1">IF(ISERROR($V113),"",OFFSET('Smelter Look-up'!$G$4,$V113-4,0))</f>
        <v>0</v>
      </c>
      <c r="I113" s="219" t="str">
        <f ca="1">IF(ISERROR($V113),"",OFFSET('Smelter Look-up'!$H$4,$V113-4,0))</f>
        <v>São João del Rei</v>
      </c>
      <c r="J113" s="219" t="str">
        <f ca="1">IF(ISERROR($V113),"",OFFSET('Smelter Look-up'!$I$4,$V113-4,0))</f>
        <v>Minas Gerais</v>
      </c>
      <c r="K113" s="273"/>
      <c r="L113" s="273"/>
      <c r="M113" s="273"/>
      <c r="N113" s="273"/>
      <c r="O113" s="273"/>
      <c r="P113" s="220"/>
      <c r="Q113" s="274"/>
      <c r="R113" s="217" t="str">
        <f ca="1">IF(ISERROR($V113),"",OFFSET('Smelter Look-up'!$C$4,$V113-4,0)&amp;"")</f>
        <v>LSM Brasil S.A.</v>
      </c>
      <c r="S113" s="225" t="str">
        <f t="shared" ca="1" si="15"/>
        <v>BR</v>
      </c>
      <c r="T113" s="225" t="str">
        <f ca="1">IF(B113="","",IF(ISERROR(MATCH($J113,SorP!$B$1:$B$6230,0)),"",INDIRECT("'SorP'!$A$"&amp;MATCH($J113,SorP!$B$1:$B$6230,0))))</f>
        <v>BR-MG</v>
      </c>
      <c r="U113" s="241"/>
      <c r="V113" s="275">
        <f ca="1">IF(C113="",NA(),MATCH($B113&amp;$C113,'Smelter Look-up'!$J:$J,0))</f>
        <v>321</v>
      </c>
      <c r="W113" s="276"/>
      <c r="X113" s="276">
        <f t="shared" ca="1" si="16"/>
        <v>0</v>
      </c>
      <c r="Y113" s="276"/>
      <c r="Z113" s="276"/>
      <c r="AB113" s="278" t="str">
        <f t="shared" ca="1" si="17"/>
        <v>TantalumLSM Brasil S.A.</v>
      </c>
    </row>
    <row r="114" spans="1:28" s="277" customFormat="1" ht="63.75">
      <c r="A114" s="216" t="s">
        <v>773</v>
      </c>
      <c r="B114" s="217" t="str">
        <f ca="1">IF(LEN(A114)=0,"",INDEX('Smelter Look-up'!$A:$A,MATCH($A114,'Smelter Look-up'!$E:$E,0)))</f>
        <v>Tantalum</v>
      </c>
      <c r="C114" s="221" t="str">
        <f ca="1">IF(LEN(A114)=0,"",INDEX('Smelter Look-up'!$C:$C,MATCH($A114,'Smelter Look-up'!$E:$E,0)))</f>
        <v>Mineracao Taboca S.A.</v>
      </c>
      <c r="D114" s="283"/>
      <c r="E114" s="217" t="str">
        <f ca="1">IF(ISERROR($V114),"",OFFSET('Smelter Look-up'!$D$4,$V114-4,0)&amp;"")</f>
        <v>BRAZIL</v>
      </c>
      <c r="F114" s="217" t="str">
        <f ca="1">IF(ISERROR($V114),"",OFFSET('Smelter Look-up'!$E$4,$V114-4,0))</f>
        <v>CID001175</v>
      </c>
      <c r="G114" s="217" t="str">
        <f ca="1">IF(C114=$X$4,"Enter smelter details",IF(ISERROR($V114),"",OFFSET('Smelter Look-up'!$F$4,$V114-4,0)))</f>
        <v>RMI</v>
      </c>
      <c r="H114" s="218">
        <f ca="1">IF(ISERROR($V114),"",OFFSET('Smelter Look-up'!$G$4,$V114-4,0))</f>
        <v>0</v>
      </c>
      <c r="I114" s="219" t="str">
        <f ca="1">IF(ISERROR($V114),"",OFFSET('Smelter Look-up'!$H$4,$V114-4,0))</f>
        <v>Presidente Figueiredo</v>
      </c>
      <c r="J114" s="219" t="str">
        <f ca="1">IF(ISERROR($V114),"",OFFSET('Smelter Look-up'!$I$4,$V114-4,0))</f>
        <v>Amazonas</v>
      </c>
      <c r="K114" s="273"/>
      <c r="L114" s="273"/>
      <c r="M114" s="273"/>
      <c r="N114" s="273"/>
      <c r="O114" s="273"/>
      <c r="P114" s="220"/>
      <c r="Q114" s="274"/>
      <c r="R114" s="217" t="str">
        <f ca="1">IF(ISERROR($V114),"",OFFSET('Smelter Look-up'!$C$4,$V114-4,0)&amp;"")</f>
        <v>Mineracao Taboca S.A.</v>
      </c>
      <c r="S114" s="225" t="str">
        <f t="shared" ca="1" si="15"/>
        <v>BR</v>
      </c>
      <c r="T114" s="225" t="str">
        <f ca="1">IF(B114="","",IF(ISERROR(MATCH($J114,SorP!$B$1:$B$6230,0)),"",INDIRECT("'SorP'!$A$"&amp;MATCH($J114,SorP!$B$1:$B$6230,0))))</f>
        <v>BR-AM</v>
      </c>
      <c r="U114" s="241"/>
      <c r="V114" s="275">
        <f ca="1">IF(C114="",NA(),MATCH($B114&amp;$C114,'Smelter Look-up'!$J:$J,0))</f>
        <v>324</v>
      </c>
      <c r="W114" s="276"/>
      <c r="X114" s="276">
        <f t="shared" ca="1" si="16"/>
        <v>0</v>
      </c>
      <c r="Y114" s="276"/>
      <c r="Z114" s="276"/>
      <c r="AB114" s="278" t="str">
        <f t="shared" ca="1" si="17"/>
        <v>TantalumMineracao Taboca S.A.</v>
      </c>
    </row>
    <row r="115" spans="1:28" s="277" customFormat="1" ht="51">
      <c r="A115" s="216" t="s">
        <v>775</v>
      </c>
      <c r="B115" s="217" t="str">
        <f ca="1">IF(LEN(A115)=0,"",INDEX('Smelter Look-up'!$A:$A,MATCH($A115,'Smelter Look-up'!$E:$E,0)))</f>
        <v>Tantalum</v>
      </c>
      <c r="C115" s="221" t="str">
        <f ca="1">IF(LEN(A115)=0,"",INDEX('Smelter Look-up'!$C:$C,MATCH($A115,'Smelter Look-up'!$E:$E,0)))</f>
        <v>NPM Silmet AS</v>
      </c>
      <c r="D115" s="283"/>
      <c r="E115" s="217" t="str">
        <f ca="1">IF(ISERROR($V115),"",OFFSET('Smelter Look-up'!$D$4,$V115-4,0)&amp;"")</f>
        <v>ESTONIA</v>
      </c>
      <c r="F115" s="217" t="str">
        <f ca="1">IF(ISERROR($V115),"",OFFSET('Smelter Look-up'!$E$4,$V115-4,0))</f>
        <v>CID001200</v>
      </c>
      <c r="G115" s="217" t="str">
        <f ca="1">IF(C115=$X$4,"Enter smelter details",IF(ISERROR($V115),"",OFFSET('Smelter Look-up'!$F$4,$V115-4,0)))</f>
        <v>RMI</v>
      </c>
      <c r="H115" s="218">
        <f ca="1">IF(ISERROR($V115),"",OFFSET('Smelter Look-up'!$G$4,$V115-4,0))</f>
        <v>0</v>
      </c>
      <c r="I115" s="219" t="str">
        <f ca="1">IF(ISERROR($V115),"",OFFSET('Smelter Look-up'!$H$4,$V115-4,0))</f>
        <v>Sillamäe</v>
      </c>
      <c r="J115" s="219" t="str">
        <f ca="1">IF(ISERROR($V115),"",OFFSET('Smelter Look-up'!$I$4,$V115-4,0))</f>
        <v>Ida-Virumaa</v>
      </c>
      <c r="K115" s="273"/>
      <c r="L115" s="273"/>
      <c r="M115" s="273"/>
      <c r="N115" s="273"/>
      <c r="O115" s="273"/>
      <c r="P115" s="220"/>
      <c r="Q115" s="274"/>
      <c r="R115" s="217" t="str">
        <f ca="1">IF(ISERROR($V115),"",OFFSET('Smelter Look-up'!$C$4,$V115-4,0)&amp;"")</f>
        <v>NPM Silmet AS</v>
      </c>
      <c r="S115" s="225" t="str">
        <f t="shared" ca="1" si="15"/>
        <v>EE</v>
      </c>
      <c r="T115" s="225" t="str">
        <f ca="1">IF(B115="","",IF(ISERROR(MATCH($J115,SorP!$B$1:$B$6230,0)),"",INDIRECT("'SorP'!$A$"&amp;MATCH($J115,SorP!$B$1:$B$6230,0))))</f>
        <v>EE-44</v>
      </c>
      <c r="U115" s="241"/>
      <c r="V115" s="275">
        <f ca="1">IF(C115="",NA(),MATCH($B115&amp;$C115,'Smelter Look-up'!$J:$J,0))</f>
        <v>332</v>
      </c>
      <c r="W115" s="276"/>
      <c r="X115" s="276">
        <f t="shared" ca="1" si="16"/>
        <v>0</v>
      </c>
      <c r="Y115" s="276"/>
      <c r="Z115" s="276"/>
      <c r="AB115" s="278" t="str">
        <f t="shared" ca="1" si="17"/>
        <v>TantalumNPM Silmet AS</v>
      </c>
    </row>
    <row r="116" spans="1:28" s="277" customFormat="1" ht="114.75">
      <c r="A116" s="216" t="s">
        <v>406</v>
      </c>
      <c r="B116" s="217" t="str">
        <f ca="1">IF(LEN(A116)=0,"",INDEX('Smelter Look-up'!$A:$A,MATCH($A116,'Smelter Look-up'!$E:$E,0)))</f>
        <v>Tantalum</v>
      </c>
      <c r="C116" s="221" t="str">
        <f ca="1">IF(LEN(A116)=0,"",INDEX('Smelter Look-up'!$C:$C,MATCH($A116,'Smelter Look-up'!$E:$E,0)))</f>
        <v>Hengyang King Xing Lifeng New Materials Co., Ltd.</v>
      </c>
      <c r="D116" s="283"/>
      <c r="E116" s="217" t="str">
        <f ca="1">IF(ISERROR($V116),"",OFFSET('Smelter Look-up'!$D$4,$V116-4,0)&amp;"")</f>
        <v>CHINA</v>
      </c>
      <c r="F116" s="217" t="str">
        <f ca="1">IF(ISERROR($V116),"",OFFSET('Smelter Look-up'!$E$4,$V116-4,0))</f>
        <v>CID002492</v>
      </c>
      <c r="G116" s="217" t="str">
        <f ca="1">IF(C116=$X$4,"Enter smelter details",IF(ISERROR($V116),"",OFFSET('Smelter Look-up'!$F$4,$V116-4,0)))</f>
        <v>RMI</v>
      </c>
      <c r="H116" s="218">
        <f ca="1">IF(ISERROR($V116),"",OFFSET('Smelter Look-up'!$G$4,$V116-4,0))</f>
        <v>0</v>
      </c>
      <c r="I116" s="219" t="str">
        <f ca="1">IF(ISERROR($V116),"",OFFSET('Smelter Look-up'!$H$4,$V116-4,0))</f>
        <v>Hengyang</v>
      </c>
      <c r="J116" s="219" t="str">
        <f ca="1">IF(ISERROR($V116),"",OFFSET('Smelter Look-up'!$I$4,$V116-4,0))</f>
        <v>Hunan Sheng</v>
      </c>
      <c r="K116" s="273"/>
      <c r="L116" s="273"/>
      <c r="M116" s="273"/>
      <c r="N116" s="273"/>
      <c r="O116" s="273"/>
      <c r="P116" s="220"/>
      <c r="Q116" s="274"/>
      <c r="R116" s="217" t="str">
        <f ca="1">IF(ISERROR($V116),"",OFFSET('Smelter Look-up'!$C$4,$V116-4,0)&amp;"")</f>
        <v>Hengyang King Xing Lifeng New Materials Co., Ltd.</v>
      </c>
      <c r="S116" s="225" t="str">
        <f t="shared" ca="1" si="15"/>
        <v>CN</v>
      </c>
      <c r="T116" s="225" t="str">
        <f ca="1">IF(B116="","",IF(ISERROR(MATCH($J116,SorP!$B$1:$B$6230,0)),"",INDIRECT("'SorP'!$A$"&amp;MATCH($J116,SorP!$B$1:$B$6230,0))))</f>
        <v>CN-HN</v>
      </c>
      <c r="U116" s="241"/>
      <c r="V116" s="275">
        <f ca="1">IF(C116="",NA(),MATCH($B116&amp;$C116,'Smelter Look-up'!$J:$J,0))</f>
        <v>313</v>
      </c>
      <c r="W116" s="276"/>
      <c r="X116" s="276">
        <f t="shared" ca="1" si="16"/>
        <v>0</v>
      </c>
      <c r="Y116" s="276"/>
      <c r="Z116" s="276"/>
      <c r="AB116" s="278" t="str">
        <f t="shared" ca="1" si="17"/>
        <v>TantalumHengyang King Xing Lifeng New Materials Co., Ltd.</v>
      </c>
    </row>
    <row r="117" spans="1:28" s="277" customFormat="1" ht="63.75">
      <c r="A117" s="216" t="s">
        <v>1419</v>
      </c>
      <c r="B117" s="217" t="str">
        <f ca="1">IF(LEN(A117)=0,"",INDEX('Smelter Look-up'!$A:$A,MATCH($A117,'Smelter Look-up'!$E:$E,0)))</f>
        <v>Tantalum</v>
      </c>
      <c r="C117" s="221" t="str">
        <f ca="1">IF(LEN(A117)=0,"",INDEX('Smelter Look-up'!$C:$C,MATCH($A117,'Smelter Look-up'!$E:$E,0)))</f>
        <v>D Block Metals, LLC</v>
      </c>
      <c r="D117" s="283"/>
      <c r="E117" s="217" t="str">
        <f ca="1">IF(ISERROR($V117),"",OFFSET('Smelter Look-up'!$D$4,$V117-4,0)&amp;"")</f>
        <v>UNITED STATES OF AMERICA</v>
      </c>
      <c r="F117" s="217" t="str">
        <f ca="1">IF(ISERROR($V117),"",OFFSET('Smelter Look-up'!$E$4,$V117-4,0))</f>
        <v>CID002504</v>
      </c>
      <c r="G117" s="217" t="str">
        <f ca="1">IF(C117=$X$4,"Enter smelter details",IF(ISERROR($V117),"",OFFSET('Smelter Look-up'!$F$4,$V117-4,0)))</f>
        <v>RMI</v>
      </c>
      <c r="H117" s="218">
        <f ca="1">IF(ISERROR($V117),"",OFFSET('Smelter Look-up'!$G$4,$V117-4,0))</f>
        <v>0</v>
      </c>
      <c r="I117" s="219" t="str">
        <f ca="1">IF(ISERROR($V117),"",OFFSET('Smelter Look-up'!$H$4,$V117-4,0))</f>
        <v>Gastonia</v>
      </c>
      <c r="J117" s="219" t="str">
        <f ca="1">IF(ISERROR($V117),"",OFFSET('Smelter Look-up'!$I$4,$V117-4,0))</f>
        <v>North Carolina</v>
      </c>
      <c r="K117" s="273"/>
      <c r="L117" s="273"/>
      <c r="M117" s="273"/>
      <c r="N117" s="273"/>
      <c r="O117" s="273"/>
      <c r="P117" s="220"/>
      <c r="Q117" s="274"/>
      <c r="R117" s="217" t="str">
        <f ca="1">IF(ISERROR($V117),"",OFFSET('Smelter Look-up'!$C$4,$V117-4,0)&amp;"")</f>
        <v>D Block Metals, LLC</v>
      </c>
      <c r="S117" s="225" t="str">
        <f t="shared" ca="1" si="15"/>
        <v>US</v>
      </c>
      <c r="T117" s="225" t="str">
        <f ca="1">IF(B117="","",IF(ISERROR(MATCH($J117,SorP!$B$1:$B$6230,0)),"",INDIRECT("'SorP'!$A$"&amp;MATCH($J117,SorP!$B$1:$B$6230,0))))</f>
        <v>US-NC</v>
      </c>
      <c r="U117" s="241"/>
      <c r="V117" s="275">
        <f ca="1">IF(C117="",NA(),MATCH($B117&amp;$C117,'Smelter Look-up'!$J:$J,0))</f>
        <v>299</v>
      </c>
      <c r="W117" s="276"/>
      <c r="X117" s="276">
        <f t="shared" ca="1" si="16"/>
        <v>0</v>
      </c>
      <c r="Y117" s="276"/>
      <c r="Z117" s="276"/>
      <c r="AB117" s="278" t="str">
        <f t="shared" ca="1" si="17"/>
        <v>TantalumD Block Metals, LLC</v>
      </c>
    </row>
    <row r="118" spans="1:28" s="277" customFormat="1" ht="51">
      <c r="A118" s="216" t="s">
        <v>1449</v>
      </c>
      <c r="B118" s="217" t="str">
        <f ca="1">IF(LEN(A118)=0,"",INDEX('Smelter Look-up'!$A:$A,MATCH($A118,'Smelter Look-up'!$E:$E,0)))</f>
        <v>Tantalum</v>
      </c>
      <c r="C118" s="221" t="str">
        <f ca="1">IF(LEN(A118)=0,"",INDEX('Smelter Look-up'!$C:$C,MATCH($A118,'Smelter Look-up'!$E:$E,0)))</f>
        <v>KEMET Blue Metals</v>
      </c>
      <c r="D118" s="283"/>
      <c r="E118" s="217" t="str">
        <f ca="1">IF(ISERROR($V118),"",OFFSET('Smelter Look-up'!$D$4,$V118-4,0)&amp;"")</f>
        <v>MEXICO</v>
      </c>
      <c r="F118" s="217" t="str">
        <f ca="1">IF(ISERROR($V118),"",OFFSET('Smelter Look-up'!$E$4,$V118-4,0))</f>
        <v>CID002539</v>
      </c>
      <c r="G118" s="217" t="str">
        <f ca="1">IF(C118=$X$4,"Enter smelter details",IF(ISERROR($V118),"",OFFSET('Smelter Look-up'!$F$4,$V118-4,0)))</f>
        <v>RMI</v>
      </c>
      <c r="H118" s="218">
        <f ca="1">IF(ISERROR($V118),"",OFFSET('Smelter Look-up'!$G$4,$V118-4,0))</f>
        <v>0</v>
      </c>
      <c r="I118" s="219" t="str">
        <f ca="1">IF(ISERROR($V118),"",OFFSET('Smelter Look-up'!$H$4,$V118-4,0))</f>
        <v>Matamoros</v>
      </c>
      <c r="J118" s="219" t="str">
        <f ca="1">IF(ISERROR($V118),"",OFFSET('Smelter Look-up'!$I$4,$V118-4,0))</f>
        <v>Tamaulipas</v>
      </c>
      <c r="K118" s="273"/>
      <c r="L118" s="273"/>
      <c r="M118" s="273"/>
      <c r="N118" s="273"/>
      <c r="O118" s="273"/>
      <c r="P118" s="220"/>
      <c r="Q118" s="274"/>
      <c r="R118" s="217" t="str">
        <f ca="1">IF(ISERROR($V118),"",OFFSET('Smelter Look-up'!$C$4,$V118-4,0)&amp;"")</f>
        <v>KEMET Blue Metals</v>
      </c>
      <c r="S118" s="225" t="str">
        <f t="shared" ca="1" si="15"/>
        <v>MX</v>
      </c>
      <c r="T118" s="225" t="str">
        <f ca="1">IF(B118="","",IF(ISERROR(MATCH($J118,SorP!$B$1:$B$6230,0)),"",INDIRECT("'SorP'!$A$"&amp;MATCH($J118,SorP!$B$1:$B$6230,0))))</f>
        <v>MX-TAM</v>
      </c>
      <c r="U118" s="241"/>
      <c r="V118" s="275">
        <f ca="1">IF(C118="",NA(),MATCH($B118&amp;$C118,'Smelter Look-up'!$J:$J,0))</f>
        <v>320</v>
      </c>
      <c r="W118" s="276"/>
      <c r="X118" s="276">
        <f t="shared" ca="1" si="16"/>
        <v>0</v>
      </c>
      <c r="Y118" s="276"/>
      <c r="Z118" s="276"/>
      <c r="AB118" s="278" t="str">
        <f t="shared" ca="1" si="17"/>
        <v>TantalumKEMET Blue Metals</v>
      </c>
    </row>
    <row r="119" spans="1:28" s="277" customFormat="1" ht="89.25">
      <c r="A119" s="216" t="s">
        <v>1440</v>
      </c>
      <c r="B119" s="217" t="str">
        <f ca="1">IF(LEN(A119)=0,"",INDEX('Smelter Look-up'!$A:$A,MATCH($A119,'Smelter Look-up'!$E:$E,0)))</f>
        <v>Tantalum</v>
      </c>
      <c r="C119" s="221" t="str">
        <f ca="1">IF(LEN(A119)=0,"",INDEX('Smelter Look-up'!$C:$C,MATCH($A119,'Smelter Look-up'!$E:$E,0)))</f>
        <v>H.C. Starck Tantalum and Niobium GmbH</v>
      </c>
      <c r="D119" s="283"/>
      <c r="E119" s="217" t="str">
        <f ca="1">IF(ISERROR($V119),"",OFFSET('Smelter Look-up'!$D$4,$V119-4,0)&amp;"")</f>
        <v>GERMANY</v>
      </c>
      <c r="F119" s="217" t="str">
        <f ca="1">IF(ISERROR($V119),"",OFFSET('Smelter Look-up'!$E$4,$V119-4,0))</f>
        <v>CID002545</v>
      </c>
      <c r="G119" s="217" t="str">
        <f ca="1">IF(C119=$X$4,"Enter smelter details",IF(ISERROR($V119),"",OFFSET('Smelter Look-up'!$F$4,$V119-4,0)))</f>
        <v>RMI</v>
      </c>
      <c r="H119" s="218">
        <f ca="1">IF(ISERROR($V119),"",OFFSET('Smelter Look-up'!$G$4,$V119-4,0))</f>
        <v>0</v>
      </c>
      <c r="I119" s="219" t="str">
        <f ca="1">IF(ISERROR($V119),"",OFFSET('Smelter Look-up'!$H$4,$V119-4,0))</f>
        <v>Goslar</v>
      </c>
      <c r="J119" s="219" t="str">
        <f ca="1">IF(ISERROR($V119),"",OFFSET('Smelter Look-up'!$I$4,$V119-4,0))</f>
        <v>Niedersachsen</v>
      </c>
      <c r="K119" s="273"/>
      <c r="L119" s="273"/>
      <c r="M119" s="273"/>
      <c r="N119" s="273"/>
      <c r="O119" s="273"/>
      <c r="P119" s="220"/>
      <c r="Q119" s="274"/>
      <c r="R119" s="217" t="str">
        <f ca="1">IF(ISERROR($V119),"",OFFSET('Smelter Look-up'!$C$4,$V119-4,0)&amp;"")</f>
        <v>H.C. Starck Tantalum and Niobium GmbH</v>
      </c>
      <c r="S119" s="225" t="str">
        <f t="shared" ca="1" si="15"/>
        <v>DE</v>
      </c>
      <c r="T119" s="225" t="str">
        <f ca="1">IF(B119="","",IF(ISERROR(MATCH($J119,SorP!$B$1:$B$6230,0)),"",INDIRECT("'SorP'!$A$"&amp;MATCH($J119,SorP!$B$1:$B$6230,0))))</f>
        <v>DE-NI</v>
      </c>
      <c r="U119" s="241"/>
      <c r="V119" s="275">
        <f ca="1">IF(C119="",NA(),MATCH($B119&amp;$C119,'Smelter Look-up'!$J:$J,0))</f>
        <v>312</v>
      </c>
      <c r="W119" s="276"/>
      <c r="X119" s="276">
        <f t="shared" ca="1" si="16"/>
        <v>0</v>
      </c>
      <c r="Y119" s="276"/>
      <c r="Z119" s="276"/>
      <c r="AB119" s="278" t="str">
        <f t="shared" ca="1" si="17"/>
        <v>TantalumH.C. Starck Tantalum and Niobium GmbH</v>
      </c>
    </row>
    <row r="120" spans="1:28" s="277" customFormat="1" ht="63.75">
      <c r="A120" s="216" t="s">
        <v>1442</v>
      </c>
      <c r="B120" s="217" t="str">
        <f ca="1">IF(LEN(A120)=0,"",INDEX('Smelter Look-up'!$A:$A,MATCH($A120,'Smelter Look-up'!$E:$E,0)))</f>
        <v>Tantalum</v>
      </c>
      <c r="C120" s="221" t="str">
        <f ca="1">IF(LEN(A120)=0,"",INDEX('Smelter Look-up'!$C:$C,MATCH($A120,'Smelter Look-up'!$E:$E,0)))</f>
        <v>H.C. Starck Hermsdorf GmbH</v>
      </c>
      <c r="D120" s="283"/>
      <c r="E120" s="217" t="str">
        <f ca="1">IF(ISERROR($V120),"",OFFSET('Smelter Look-up'!$D$4,$V120-4,0)&amp;"")</f>
        <v>GERMANY</v>
      </c>
      <c r="F120" s="217" t="str">
        <f ca="1">IF(ISERROR($V120),"",OFFSET('Smelter Look-up'!$E$4,$V120-4,0))</f>
        <v>CID002547</v>
      </c>
      <c r="G120" s="217" t="str">
        <f ca="1">IF(C120=$X$4,"Enter smelter details",IF(ISERROR($V120),"",OFFSET('Smelter Look-up'!$F$4,$V120-4,0)))</f>
        <v>RMI</v>
      </c>
      <c r="H120" s="218">
        <f ca="1">IF(ISERROR($V120),"",OFFSET('Smelter Look-up'!$G$4,$V120-4,0))</f>
        <v>0</v>
      </c>
      <c r="I120" s="219" t="str">
        <f ca="1">IF(ISERROR($V120),"",OFFSET('Smelter Look-up'!$H$4,$V120-4,0))</f>
        <v>Hermsdorf</v>
      </c>
      <c r="J120" s="219" t="str">
        <f ca="1">IF(ISERROR($V120),"",OFFSET('Smelter Look-up'!$I$4,$V120-4,0))</f>
        <v>Thüringen</v>
      </c>
      <c r="K120" s="273"/>
      <c r="L120" s="273"/>
      <c r="M120" s="273"/>
      <c r="N120" s="273"/>
      <c r="O120" s="273"/>
      <c r="P120" s="220"/>
      <c r="Q120" s="274"/>
      <c r="R120" s="217" t="str">
        <f ca="1">IF(ISERROR($V120),"",OFFSET('Smelter Look-up'!$C$4,$V120-4,0)&amp;"")</f>
        <v>H.C. Starck Hermsdorf GmbH</v>
      </c>
      <c r="S120" s="225" t="str">
        <f t="shared" ca="1" si="15"/>
        <v>DE</v>
      </c>
      <c r="T120" s="225" t="str">
        <f ca="1">IF(B120="","",IF(ISERROR(MATCH($J120,SorP!$B$1:$B$6230,0)),"",INDIRECT("'SorP'!$A$"&amp;MATCH($J120,SorP!$B$1:$B$6230,0))))</f>
        <v>DE-TH</v>
      </c>
      <c r="U120" s="241"/>
      <c r="V120" s="275">
        <f ca="1">IF(C120="",NA(),MATCH($B120&amp;$C120,'Smelter Look-up'!$J:$J,0))</f>
        <v>308</v>
      </c>
      <c r="W120" s="276"/>
      <c r="X120" s="276">
        <f t="shared" ca="1" si="16"/>
        <v>0</v>
      </c>
      <c r="Y120" s="276"/>
      <c r="Z120" s="276"/>
      <c r="AB120" s="278" t="str">
        <f t="shared" ca="1" si="17"/>
        <v>TantalumH.C. Starck Hermsdorf GmbH</v>
      </c>
    </row>
    <row r="121" spans="1:28" s="277" customFormat="1" ht="51">
      <c r="A121" s="216" t="s">
        <v>1446</v>
      </c>
      <c r="B121" s="217" t="str">
        <f ca="1">IF(LEN(A121)=0,"",INDEX('Smelter Look-up'!$A:$A,MATCH($A121,'Smelter Look-up'!$E:$E,0)))</f>
        <v>Tantalum</v>
      </c>
      <c r="C121" s="221" t="str">
        <f ca="1">IF(LEN(A121)=0,"",INDEX('Smelter Look-up'!$C:$C,MATCH($A121,'Smelter Look-up'!$E:$E,0)))</f>
        <v>H.C. Starck Ltd.</v>
      </c>
      <c r="D121" s="283"/>
      <c r="E121" s="217" t="str">
        <f ca="1">IF(ISERROR($V121),"",OFFSET('Smelter Look-up'!$D$4,$V121-4,0)&amp;"")</f>
        <v>JAPAN</v>
      </c>
      <c r="F121" s="217" t="str">
        <f ca="1">IF(ISERROR($V121),"",OFFSET('Smelter Look-up'!$E$4,$V121-4,0))</f>
        <v>CID002549</v>
      </c>
      <c r="G121" s="217" t="str">
        <f ca="1">IF(C121=$X$4,"Enter smelter details",IF(ISERROR($V121),"",OFFSET('Smelter Look-up'!$F$4,$V121-4,0)))</f>
        <v>RMI</v>
      </c>
      <c r="H121" s="218">
        <f ca="1">IF(ISERROR($V121),"",OFFSET('Smelter Look-up'!$G$4,$V121-4,0))</f>
        <v>0</v>
      </c>
      <c r="I121" s="219" t="str">
        <f ca="1">IF(ISERROR($V121),"",OFFSET('Smelter Look-up'!$H$4,$V121-4,0))</f>
        <v>Mito</v>
      </c>
      <c r="J121" s="219" t="str">
        <f ca="1">IF(ISERROR($V121),"",OFFSET('Smelter Look-up'!$I$4,$V121-4,0))</f>
        <v>Ibaraki</v>
      </c>
      <c r="K121" s="273"/>
      <c r="L121" s="273"/>
      <c r="M121" s="273"/>
      <c r="N121" s="273"/>
      <c r="O121" s="273"/>
      <c r="P121" s="220"/>
      <c r="Q121" s="274"/>
      <c r="R121" s="217" t="str">
        <f ca="1">IF(ISERROR($V121),"",OFFSET('Smelter Look-up'!$C$4,$V121-4,0)&amp;"")</f>
        <v>H.C. Starck Ltd.</v>
      </c>
      <c r="S121" s="225" t="str">
        <f t="shared" ca="1" si="15"/>
        <v>JP</v>
      </c>
      <c r="T121" s="225" t="str">
        <f ca="1">IF(B121="","",IF(ISERROR(MATCH($J121,SorP!$B$1:$B$6230,0)),"",INDIRECT("'SorP'!$A$"&amp;MATCH($J121,SorP!$B$1:$B$6230,0))))</f>
        <v>JP-08</v>
      </c>
      <c r="U121" s="241"/>
      <c r="V121" s="275">
        <f ca="1">IF(C121="",NA(),MATCH($B121&amp;$C121,'Smelter Look-up'!$J:$J,0))</f>
        <v>310</v>
      </c>
      <c r="W121" s="276"/>
      <c r="X121" s="276">
        <f t="shared" ca="1" si="16"/>
        <v>0</v>
      </c>
      <c r="Y121" s="276"/>
      <c r="Z121" s="276"/>
      <c r="AB121" s="278" t="str">
        <f t="shared" ca="1" si="17"/>
        <v>TantalumH.C. Starck Ltd.</v>
      </c>
    </row>
    <row r="122" spans="1:28" s="277" customFormat="1" ht="76.5">
      <c r="A122" s="216" t="s">
        <v>1447</v>
      </c>
      <c r="B122" s="217" t="str">
        <f ca="1">IF(LEN(A122)=0,"",INDEX('Smelter Look-up'!$A:$A,MATCH($A122,'Smelter Look-up'!$E:$E,0)))</f>
        <v>Tantalum</v>
      </c>
      <c r="C122" s="221" t="str">
        <f ca="1">IF(LEN(A122)=0,"",INDEX('Smelter Look-up'!$C:$C,MATCH($A122,'Smelter Look-up'!$E:$E,0)))</f>
        <v>H.C. Starck Smelting GmbH &amp; Co. KG</v>
      </c>
      <c r="D122" s="283"/>
      <c r="E122" s="217" t="str">
        <f ca="1">IF(ISERROR($V122),"",OFFSET('Smelter Look-up'!$D$4,$V122-4,0)&amp;"")</f>
        <v>GERMANY</v>
      </c>
      <c r="F122" s="217" t="str">
        <f ca="1">IF(ISERROR($V122),"",OFFSET('Smelter Look-up'!$E$4,$V122-4,0))</f>
        <v>CID002550</v>
      </c>
      <c r="G122" s="217" t="str">
        <f ca="1">IF(C122=$X$4,"Enter smelter details",IF(ISERROR($V122),"",OFFSET('Smelter Look-up'!$F$4,$V122-4,0)))</f>
        <v>RMI</v>
      </c>
      <c r="H122" s="218">
        <f ca="1">IF(ISERROR($V122),"",OFFSET('Smelter Look-up'!$G$4,$V122-4,0))</f>
        <v>0</v>
      </c>
      <c r="I122" s="219" t="str">
        <f ca="1">IF(ISERROR($V122),"",OFFSET('Smelter Look-up'!$H$4,$V122-4,0))</f>
        <v>Laufenburg</v>
      </c>
      <c r="J122" s="219" t="str">
        <f ca="1">IF(ISERROR($V122),"",OFFSET('Smelter Look-up'!$I$4,$V122-4,0))</f>
        <v>Baden-Württemberg</v>
      </c>
      <c r="K122" s="273"/>
      <c r="L122" s="273"/>
      <c r="M122" s="273"/>
      <c r="N122" s="273"/>
      <c r="O122" s="273"/>
      <c r="P122" s="220"/>
      <c r="Q122" s="274"/>
      <c r="R122" s="217" t="str">
        <f ca="1">IF(ISERROR($V122),"",OFFSET('Smelter Look-up'!$C$4,$V122-4,0)&amp;"")</f>
        <v>H.C. Starck Smelting GmbH &amp; Co. KG</v>
      </c>
      <c r="S122" s="225" t="str">
        <f t="shared" ca="1" si="15"/>
        <v>DE</v>
      </c>
      <c r="T122" s="225" t="str">
        <f ca="1">IF(B122="","",IF(ISERROR(MATCH($J122,SorP!$B$1:$B$6230,0)),"",INDIRECT("'SorP'!$A$"&amp;MATCH($J122,SorP!$B$1:$B$6230,0))))</f>
        <v>DE-BW</v>
      </c>
      <c r="U122" s="241"/>
      <c r="V122" s="275">
        <f ca="1">IF(C122="",NA(),MATCH($B122&amp;$C122,'Smelter Look-up'!$J:$J,0))</f>
        <v>311</v>
      </c>
      <c r="W122" s="276"/>
      <c r="X122" s="276">
        <f t="shared" ca="1" si="16"/>
        <v>0</v>
      </c>
      <c r="Y122" s="276"/>
      <c r="Z122" s="276"/>
      <c r="AB122" s="278" t="str">
        <f t="shared" ca="1" si="17"/>
        <v>TantalumH.C. Starck Smelting GmbH &amp; Co. KG</v>
      </c>
    </row>
    <row r="123" spans="1:28" s="277" customFormat="1" ht="76.5">
      <c r="A123" s="216" t="s">
        <v>1435</v>
      </c>
      <c r="B123" s="217" t="str">
        <f ca="1">IF(LEN(A123)=0,"",INDEX('Smelter Look-up'!$A:$A,MATCH($A123,'Smelter Look-up'!$E:$E,0)))</f>
        <v>Tantalum</v>
      </c>
      <c r="C123" s="221" t="str">
        <f ca="1">IF(LEN(A123)=0,"",INDEX('Smelter Look-up'!$C:$C,MATCH($A123,'Smelter Look-up'!$E:$E,0)))</f>
        <v>Global Advanced Metals Aizu</v>
      </c>
      <c r="D123" s="283"/>
      <c r="E123" s="217" t="str">
        <f ca="1">IF(ISERROR($V123),"",OFFSET('Smelter Look-up'!$D$4,$V123-4,0)&amp;"")</f>
        <v>JAPAN</v>
      </c>
      <c r="F123" s="217" t="str">
        <f ca="1">IF(ISERROR($V123),"",OFFSET('Smelter Look-up'!$E$4,$V123-4,0))</f>
        <v>CID002558</v>
      </c>
      <c r="G123" s="217" t="str">
        <f ca="1">IF(C123=$X$4,"Enter smelter details",IF(ISERROR($V123),"",OFFSET('Smelter Look-up'!$F$4,$V123-4,0)))</f>
        <v>RMI</v>
      </c>
      <c r="H123" s="218">
        <f ca="1">IF(ISERROR($V123),"",OFFSET('Smelter Look-up'!$G$4,$V123-4,0))</f>
        <v>0</v>
      </c>
      <c r="I123" s="219" t="str">
        <f ca="1">IF(ISERROR($V123),"",OFFSET('Smelter Look-up'!$H$4,$V123-4,0))</f>
        <v>Aizuwakamatsu</v>
      </c>
      <c r="J123" s="219" t="str">
        <f ca="1">IF(ISERROR($V123),"",OFFSET('Smelter Look-up'!$I$4,$V123-4,0))</f>
        <v>Fukushima</v>
      </c>
      <c r="K123" s="273"/>
      <c r="L123" s="273"/>
      <c r="M123" s="273"/>
      <c r="N123" s="273"/>
      <c r="O123" s="273"/>
      <c r="P123" s="220"/>
      <c r="Q123" s="274"/>
      <c r="R123" s="217" t="str">
        <f ca="1">IF(ISERROR($V123),"",OFFSET('Smelter Look-up'!$C$4,$V123-4,0)&amp;"")</f>
        <v>Global Advanced Metals Aizu</v>
      </c>
      <c r="S123" s="225" t="str">
        <f t="shared" ca="1" si="15"/>
        <v>JP</v>
      </c>
      <c r="T123" s="225" t="str">
        <f ca="1">IF(B123="","",IF(ISERROR(MATCH($J123,SorP!$B$1:$B$6230,0)),"",INDIRECT("'SorP'!$A$"&amp;MATCH($J123,SorP!$B$1:$B$6230,0))))</f>
        <v>JP-07</v>
      </c>
      <c r="U123" s="241"/>
      <c r="V123" s="275">
        <f ca="1">IF(C123="",NA(),MATCH($B123&amp;$C123,'Smelter Look-up'!$J:$J,0))</f>
        <v>304</v>
      </c>
      <c r="W123" s="276"/>
      <c r="X123" s="276">
        <f t="shared" ca="1" si="16"/>
        <v>0</v>
      </c>
      <c r="Y123" s="276"/>
      <c r="Z123" s="276"/>
      <c r="AB123" s="278" t="str">
        <f t="shared" ca="1" si="17"/>
        <v>TantalumGlobal Advanced Metals Aizu</v>
      </c>
    </row>
    <row r="124" spans="1:28" s="277" customFormat="1" ht="51">
      <c r="A124" s="216" t="s">
        <v>15520</v>
      </c>
      <c r="B124" s="217" t="s">
        <v>1155</v>
      </c>
      <c r="C124" s="348" t="s">
        <v>15521</v>
      </c>
      <c r="D124" s="283"/>
      <c r="E124" s="217" t="s">
        <v>2576</v>
      </c>
      <c r="F124" s="217" t="s">
        <v>15520</v>
      </c>
      <c r="G124" s="217" t="s">
        <v>13577</v>
      </c>
      <c r="H124" s="218" t="str">
        <f ca="1">IF(ISERROR($V124),"",OFFSET('Smelter Look-up'!$G$4,$V124-4,0))</f>
        <v/>
      </c>
      <c r="I124" s="350" t="s">
        <v>15522</v>
      </c>
      <c r="J124" s="350" t="s">
        <v>1794</v>
      </c>
      <c r="K124" s="273"/>
      <c r="L124" s="273"/>
      <c r="M124" s="273"/>
      <c r="N124" s="273"/>
      <c r="O124" s="273"/>
      <c r="P124" s="220"/>
      <c r="Q124" s="274"/>
      <c r="R124" s="217" t="str">
        <f ca="1">IF(ISERROR($V124),"",OFFSET('Smelter Look-up'!$C$4,$V124-4,0)&amp;"")</f>
        <v/>
      </c>
      <c r="S124" s="225" t="str">
        <f t="shared" ca="1" si="15"/>
        <v>US</v>
      </c>
      <c r="T124" s="225" t="str">
        <f ca="1">IF(B124="","",IF(ISERROR(MATCH($J124,SorP!$B$1:$B$6230,0)),"",INDIRECT("'SorP'!$A$"&amp;MATCH($J124,SorP!$B$1:$B$6230,0))))</f>
        <v>US-NV</v>
      </c>
      <c r="U124" s="241"/>
      <c r="V124" s="275" t="e">
        <f>IF(C124="",NA(),MATCH($B124&amp;$C124,'Smelter Look-up'!$J:$J,0))</f>
        <v>#N/A</v>
      </c>
      <c r="W124" s="276"/>
      <c r="X124" s="276">
        <f t="shared" si="16"/>
        <v>0</v>
      </c>
      <c r="Y124" s="276"/>
      <c r="Z124" s="276"/>
      <c r="AB124" s="278" t="str">
        <f t="shared" si="17"/>
        <v>TantalumKEMET Blue Powder</v>
      </c>
    </row>
    <row r="125" spans="1:28" s="277" customFormat="1" ht="76.5">
      <c r="A125" s="216" t="s">
        <v>1420</v>
      </c>
      <c r="B125" s="217" t="str">
        <f ca="1">IF(LEN(A125)=0,"",INDEX('Smelter Look-up'!$A:$A,MATCH($A125,'Smelter Look-up'!$E:$E,0)))</f>
        <v>Tantalum</v>
      </c>
      <c r="C125" s="221" t="str">
        <f ca="1">IF(LEN(A125)=0,"",INDEX('Smelter Look-up'!$C:$C,MATCH($A125,'Smelter Look-up'!$E:$E,0)))</f>
        <v>FIR Metals &amp; Resource Ltd.</v>
      </c>
      <c r="D125" s="283"/>
      <c r="E125" s="217" t="str">
        <f ca="1">IF(ISERROR($V125),"",OFFSET('Smelter Look-up'!$D$4,$V125-4,0)&amp;"")</f>
        <v>CHINA</v>
      </c>
      <c r="F125" s="217" t="str">
        <f ca="1">IF(ISERROR($V125),"",OFFSET('Smelter Look-up'!$E$4,$V125-4,0))</f>
        <v>CID002505</v>
      </c>
      <c r="G125" s="217" t="str">
        <f ca="1">IF(C125=$X$4,"Enter smelter details",IF(ISERROR($V125),"",OFFSET('Smelter Look-up'!$F$4,$V125-4,0)))</f>
        <v>RMI</v>
      </c>
      <c r="H125" s="218">
        <f ca="1">IF(ISERROR($V125),"",OFFSET('Smelter Look-up'!$G$4,$V125-4,0))</f>
        <v>0</v>
      </c>
      <c r="I125" s="219" t="str">
        <f ca="1">IF(ISERROR($V125),"",OFFSET('Smelter Look-up'!$H$4,$V125-4,0))</f>
        <v>Zhuzhou</v>
      </c>
      <c r="J125" s="219" t="str">
        <f ca="1">IF(ISERROR($V125),"",OFFSET('Smelter Look-up'!$I$4,$V125-4,0))</f>
        <v>Hunan Sheng</v>
      </c>
      <c r="K125" s="273"/>
      <c r="L125" s="273"/>
      <c r="M125" s="273"/>
      <c r="N125" s="273"/>
      <c r="O125" s="273"/>
      <c r="P125" s="220"/>
      <c r="Q125" s="274"/>
      <c r="R125" s="217" t="str">
        <f ca="1">IF(ISERROR($V125),"",OFFSET('Smelter Look-up'!$C$4,$V125-4,0)&amp;"")</f>
        <v>FIR Metals &amp; Resource Ltd.</v>
      </c>
      <c r="S125" s="225" t="str">
        <f t="shared" ca="1" si="15"/>
        <v>CN</v>
      </c>
      <c r="T125" s="225" t="str">
        <f ca="1">IF(B125="","",IF(ISERROR(MATCH($J125,SorP!$B$1:$B$6230,0)),"",INDIRECT("'SorP'!$A$"&amp;MATCH($J125,SorP!$B$1:$B$6230,0))))</f>
        <v>CN-HN</v>
      </c>
      <c r="U125" s="241"/>
      <c r="V125" s="275">
        <f ca="1">IF(C125="",NA(),MATCH($B125&amp;$C125,'Smelter Look-up'!$J:$J,0))</f>
        <v>303</v>
      </c>
      <c r="W125" s="276"/>
      <c r="X125" s="276">
        <f t="shared" ca="1" si="16"/>
        <v>0</v>
      </c>
      <c r="Y125" s="276"/>
      <c r="Z125" s="276"/>
      <c r="AB125" s="278" t="str">
        <f t="shared" ca="1" si="17"/>
        <v>TantalumFIR Metals &amp; Resource Ltd.</v>
      </c>
    </row>
    <row r="126" spans="1:28" s="277" customFormat="1" ht="102">
      <c r="A126" s="216" t="s">
        <v>1421</v>
      </c>
      <c r="B126" s="217" t="str">
        <f ca="1">IF(LEN(A126)=0,"",INDEX('Smelter Look-up'!$A:$A,MATCH($A126,'Smelter Look-up'!$E:$E,0)))</f>
        <v>Tantalum</v>
      </c>
      <c r="C126" s="221" t="str">
        <f ca="1">IF(LEN(A126)=0,"",INDEX('Smelter Look-up'!$C:$C,MATCH($A126,'Smelter Look-up'!$E:$E,0)))</f>
        <v>Jiangxi Dinghai Tantalum &amp; Niobium Co., Ltd.</v>
      </c>
      <c r="D126" s="283"/>
      <c r="E126" s="217" t="str">
        <f ca="1">IF(ISERROR($V126),"",OFFSET('Smelter Look-up'!$D$4,$V126-4,0)&amp;"")</f>
        <v>CHINA</v>
      </c>
      <c r="F126" s="217" t="str">
        <f ca="1">IF(ISERROR($V126),"",OFFSET('Smelter Look-up'!$E$4,$V126-4,0))</f>
        <v>CID002512</v>
      </c>
      <c r="G126" s="217" t="str">
        <f ca="1">IF(C126=$X$4,"Enter smelter details",IF(ISERROR($V126),"",OFFSET('Smelter Look-up'!$F$4,$V126-4,0)))</f>
        <v>RMI</v>
      </c>
      <c r="H126" s="218">
        <f ca="1">IF(ISERROR($V126),"",OFFSET('Smelter Look-up'!$G$4,$V126-4,0))</f>
        <v>0</v>
      </c>
      <c r="I126" s="219" t="str">
        <f ca="1">IF(ISERROR($V126),"",OFFSET('Smelter Look-up'!$H$4,$V126-4,0))</f>
        <v>Fengxin</v>
      </c>
      <c r="J126" s="219" t="str">
        <f ca="1">IF(ISERROR($V126),"",OFFSET('Smelter Look-up'!$I$4,$V126-4,0))</f>
        <v>Jiangxi Sheng</v>
      </c>
      <c r="K126" s="273"/>
      <c r="L126" s="273"/>
      <c r="M126" s="273"/>
      <c r="N126" s="273"/>
      <c r="O126" s="273"/>
      <c r="P126" s="220"/>
      <c r="Q126" s="274"/>
      <c r="R126" s="217" t="str">
        <f ca="1">IF(ISERROR($V126),"",OFFSET('Smelter Look-up'!$C$4,$V126-4,0)&amp;"")</f>
        <v>Jiangxi Dinghai Tantalum &amp; Niobium Co., Ltd.</v>
      </c>
      <c r="S126" s="225" t="str">
        <f t="shared" ca="1" si="15"/>
        <v>CN</v>
      </c>
      <c r="T126" s="225" t="str">
        <f ca="1">IF(B126="","",IF(ISERROR(MATCH($J126,SorP!$B$1:$B$6230,0)),"",INDIRECT("'SorP'!$A$"&amp;MATCH($J126,SorP!$B$1:$B$6230,0))))</f>
        <v>CN-JX</v>
      </c>
      <c r="U126" s="241"/>
      <c r="V126" s="275">
        <f ca="1">IF(C126="",NA(),MATCH($B126&amp;$C126,'Smelter Look-up'!$J:$J,0))</f>
        <v>314</v>
      </c>
      <c r="W126" s="276"/>
      <c r="X126" s="276">
        <f t="shared" ca="1" si="16"/>
        <v>0</v>
      </c>
      <c r="Y126" s="276"/>
      <c r="Z126" s="276"/>
      <c r="AB126" s="278" t="str">
        <f t="shared" ca="1" si="17"/>
        <v>TantalumJiangxi Dinghai Tantalum &amp; Niobium Co., Ltd.</v>
      </c>
    </row>
    <row r="127" spans="1:28" s="277" customFormat="1" ht="76.5">
      <c r="A127" s="216" t="s">
        <v>2387</v>
      </c>
      <c r="B127" s="217" t="str">
        <f ca="1">IF(LEN(A127)=0,"",INDEX('Smelter Look-up'!$A:$A,MATCH($A127,'Smelter Look-up'!$E:$E,0)))</f>
        <v>Tantalum</v>
      </c>
      <c r="C127" s="221" t="str">
        <f ca="1">IF(LEN(A127)=0,"",INDEX('Smelter Look-up'!$C:$C,MATCH($A127,'Smelter Look-up'!$E:$E,0)))</f>
        <v>Jiangxi Tuohong New Raw Material</v>
      </c>
      <c r="D127" s="283"/>
      <c r="E127" s="217" t="str">
        <f ca="1">IF(ISERROR($V127),"",OFFSET('Smelter Look-up'!$D$4,$V127-4,0)&amp;"")</f>
        <v>CHINA</v>
      </c>
      <c r="F127" s="217" t="str">
        <f ca="1">IF(ISERROR($V127),"",OFFSET('Smelter Look-up'!$E$4,$V127-4,0))</f>
        <v>CID002842</v>
      </c>
      <c r="G127" s="217" t="str">
        <f ca="1">IF(C127=$X$4,"Enter smelter details",IF(ISERROR($V127),"",OFFSET('Smelter Look-up'!$F$4,$V127-4,0)))</f>
        <v>RMI</v>
      </c>
      <c r="H127" s="218">
        <f ca="1">IF(ISERROR($V127),"",OFFSET('Smelter Look-up'!$G$4,$V127-4,0))</f>
        <v>0</v>
      </c>
      <c r="I127" s="219" t="str">
        <f ca="1">IF(ISERROR($V127),"",OFFSET('Smelter Look-up'!$H$4,$V127-4,0))</f>
        <v>Yichun</v>
      </c>
      <c r="J127" s="219" t="str">
        <f ca="1">IF(ISERROR($V127),"",OFFSET('Smelter Look-up'!$I$4,$V127-4,0))</f>
        <v>Jiangxi Sheng</v>
      </c>
      <c r="K127" s="273"/>
      <c r="L127" s="273"/>
      <c r="M127" s="273"/>
      <c r="N127" s="273"/>
      <c r="O127" s="273"/>
      <c r="P127" s="220"/>
      <c r="Q127" s="274"/>
      <c r="R127" s="217" t="str">
        <f ca="1">IF(ISERROR($V127),"",OFFSET('Smelter Look-up'!$C$4,$V127-4,0)&amp;"")</f>
        <v>Jiangxi Tuohong New Raw Material</v>
      </c>
      <c r="S127" s="225" t="str">
        <f t="shared" ca="1" si="15"/>
        <v>CN</v>
      </c>
      <c r="T127" s="225" t="str">
        <f ca="1">IF(B127="","",IF(ISERROR(MATCH($J127,SorP!$B$1:$B$6230,0)),"",INDIRECT("'SorP'!$A$"&amp;MATCH($J127,SorP!$B$1:$B$6230,0))))</f>
        <v>CN-JX</v>
      </c>
      <c r="U127" s="241"/>
      <c r="V127" s="275">
        <f ca="1">IF(C127="",NA(),MATCH($B127&amp;$C127,'Smelter Look-up'!$J:$J,0))</f>
        <v>315</v>
      </c>
      <c r="W127" s="276"/>
      <c r="X127" s="276">
        <f t="shared" ca="1" si="16"/>
        <v>0</v>
      </c>
      <c r="Y127" s="276"/>
      <c r="Z127" s="276"/>
      <c r="AB127" s="278" t="str">
        <f t="shared" ca="1" si="17"/>
        <v>TantalumJiangxi Tuohong New Raw Material</v>
      </c>
    </row>
    <row r="128" spans="1:28" s="277" customFormat="1" ht="127.5">
      <c r="A128" s="216" t="s">
        <v>1422</v>
      </c>
      <c r="B128" s="217" t="str">
        <f ca="1">IF(LEN(A128)=0,"",INDEX('Smelter Look-up'!$A:$A,MATCH($A128,'Smelter Look-up'!$E:$E,0)))</f>
        <v>Tantalum</v>
      </c>
      <c r="C128" s="221" t="str">
        <f ca="1">IF(LEN(A128)=0,"",INDEX('Smelter Look-up'!$C:$C,MATCH($A128,'Smelter Look-up'!$E:$E,0)))</f>
        <v>Jiujiang Zhongao Tantalum &amp; Niobium Co., Ltd.</v>
      </c>
      <c r="D128" s="283"/>
      <c r="E128" s="217" t="str">
        <f ca="1">IF(ISERROR($V128),"",OFFSET('Smelter Look-up'!$D$4,$V128-4,0)&amp;"")</f>
        <v>CHINA</v>
      </c>
      <c r="F128" s="217" t="str">
        <f ca="1">IF(ISERROR($V128),"",OFFSET('Smelter Look-up'!$E$4,$V128-4,0))</f>
        <v>CID002506</v>
      </c>
      <c r="G128" s="217" t="str">
        <f ca="1">IF(C128=$X$4,"Enter smelter details",IF(ISERROR($V128),"",OFFSET('Smelter Look-up'!$F$4,$V128-4,0)))</f>
        <v>RMI</v>
      </c>
      <c r="H128" s="218">
        <f ca="1">IF(ISERROR($V128),"",OFFSET('Smelter Look-up'!$G$4,$V128-4,0))</f>
        <v>0</v>
      </c>
      <c r="I128" s="219" t="str">
        <f ca="1">IF(ISERROR($V128),"",OFFSET('Smelter Look-up'!$H$4,$V128-4,0))</f>
        <v>Jiujiang</v>
      </c>
      <c r="J128" s="219" t="str">
        <f ca="1">IF(ISERROR($V128),"",OFFSET('Smelter Look-up'!$I$4,$V128-4,0))</f>
        <v>Jiangxi Sheng</v>
      </c>
      <c r="K128" s="273"/>
      <c r="L128" s="273"/>
      <c r="M128" s="273"/>
      <c r="N128" s="273"/>
      <c r="O128" s="273"/>
      <c r="P128" s="220"/>
      <c r="Q128" s="274"/>
      <c r="R128" s="217" t="str">
        <f ca="1">IF(ISERROR($V128),"",OFFSET('Smelter Look-up'!$C$4,$V128-4,0)&amp;"")</f>
        <v>Jiujiang Zhongao Tantalum &amp; Niobium Co., Ltd.</v>
      </c>
      <c r="S128" s="225" t="str">
        <f t="shared" ca="1" si="15"/>
        <v>CN</v>
      </c>
      <c r="T128" s="225" t="str">
        <f ca="1">IF(B128="","",IF(ISERROR(MATCH($J128,SorP!$B$1:$B$6230,0)),"",INDIRECT("'SorP'!$A$"&amp;MATCH($J128,SorP!$B$1:$B$6230,0))))</f>
        <v>CN-JX</v>
      </c>
      <c r="U128" s="241"/>
      <c r="V128" s="275">
        <f ca="1">IF(C128="",NA(),MATCH($B128&amp;$C128,'Smelter Look-up'!$J:$J,0))</f>
        <v>319</v>
      </c>
      <c r="W128" s="276"/>
      <c r="X128" s="276">
        <f t="shared" ca="1" si="16"/>
        <v>0</v>
      </c>
      <c r="Y128" s="276"/>
      <c r="Z128" s="276"/>
      <c r="AB128" s="278" t="str">
        <f t="shared" ca="1" si="17"/>
        <v>TantalumJiujiang Zhongao Tantalum &amp; Niobium Co., Ltd.</v>
      </c>
    </row>
    <row r="129" spans="1:28" s="277" customFormat="1" ht="89.25">
      <c r="A129" s="216" t="s">
        <v>772</v>
      </c>
      <c r="B129" s="217" t="str">
        <f ca="1">IF(LEN(A129)=0,"",INDEX('Smelter Look-up'!$A:$A,MATCH($A129,'Smelter Look-up'!$E:$E,0)))</f>
        <v>Tantalum</v>
      </c>
      <c r="C129" s="221" t="str">
        <f ca="1">IF(LEN(A129)=0,"",INDEX('Smelter Look-up'!$C:$C,MATCH($A129,'Smelter Look-up'!$E:$E,0)))</f>
        <v>Metallurgical Products India Pvt., Ltd.</v>
      </c>
      <c r="D129" s="283"/>
      <c r="E129" s="217" t="str">
        <f ca="1">IF(ISERROR($V129),"",OFFSET('Smelter Look-up'!$D$4,$V129-4,0)&amp;"")</f>
        <v>INDIA</v>
      </c>
      <c r="F129" s="217" t="str">
        <f ca="1">IF(ISERROR($V129),"",OFFSET('Smelter Look-up'!$E$4,$V129-4,0))</f>
        <v>CID001163</v>
      </c>
      <c r="G129" s="217" t="str">
        <f ca="1">IF(C129=$X$4,"Enter smelter details",IF(ISERROR($V129),"",OFFSET('Smelter Look-up'!$F$4,$V129-4,0)))</f>
        <v>RMI</v>
      </c>
      <c r="H129" s="218">
        <f ca="1">IF(ISERROR($V129),"",OFFSET('Smelter Look-up'!$G$4,$V129-4,0))</f>
        <v>0</v>
      </c>
      <c r="I129" s="219" t="str">
        <f ca="1">IF(ISERROR($V129),"",OFFSET('Smelter Look-up'!$H$4,$V129-4,0))</f>
        <v>District Raigad</v>
      </c>
      <c r="J129" s="219" t="str">
        <f ca="1">IF(ISERROR($V129),"",OFFSET('Smelter Look-up'!$I$4,$V129-4,0))</f>
        <v>Maharashtra</v>
      </c>
      <c r="K129" s="273"/>
      <c r="L129" s="273"/>
      <c r="M129" s="273"/>
      <c r="N129" s="273"/>
      <c r="O129" s="273"/>
      <c r="P129" s="220"/>
      <c r="Q129" s="274"/>
      <c r="R129" s="217" t="str">
        <f ca="1">IF(ISERROR($V129),"",OFFSET('Smelter Look-up'!$C$4,$V129-4,0)&amp;"")</f>
        <v>Metallurgical Products India Pvt., Ltd.</v>
      </c>
      <c r="S129" s="225" t="str">
        <f t="shared" ca="1" si="15"/>
        <v>IN</v>
      </c>
      <c r="T129" s="225" t="str">
        <f ca="1">IF(B129="","",IF(ISERROR(MATCH($J129,SorP!$B$1:$B$6230,0)),"",INDIRECT("'SorP'!$A$"&amp;MATCH($J129,SorP!$B$1:$B$6230,0))))</f>
        <v>IN-MH</v>
      </c>
      <c r="U129" s="241"/>
      <c r="V129" s="275">
        <f ca="1">IF(C129="",NA(),MATCH($B129&amp;$C129,'Smelter Look-up'!$J:$J,0))</f>
        <v>323</v>
      </c>
      <c r="W129" s="276"/>
      <c r="X129" s="276">
        <f t="shared" ca="1" si="16"/>
        <v>0</v>
      </c>
      <c r="Y129" s="276"/>
      <c r="Z129" s="276"/>
      <c r="AB129" s="278" t="str">
        <f t="shared" ca="1" si="17"/>
        <v>TantalumMetallurgical Products India Pvt., Ltd.</v>
      </c>
    </row>
    <row r="130" spans="1:28" s="277" customFormat="1" ht="89.25">
      <c r="A130" s="216" t="s">
        <v>774</v>
      </c>
      <c r="B130" s="217" t="str">
        <f ca="1">IF(LEN(A130)=0,"",INDEX('Smelter Look-up'!$A:$A,MATCH($A130,'Smelter Look-up'!$E:$E,0)))</f>
        <v>Tantalum</v>
      </c>
      <c r="C130" s="221" t="str">
        <f ca="1">IF(LEN(A130)=0,"",INDEX('Smelter Look-up'!$C:$C,MATCH($A130,'Smelter Look-up'!$E:$E,0)))</f>
        <v>Mitsui Mining and Smelting Co., Ltd.</v>
      </c>
      <c r="D130" s="283"/>
      <c r="E130" s="217" t="str">
        <f ca="1">IF(ISERROR($V130),"",OFFSET('Smelter Look-up'!$D$4,$V130-4,0)&amp;"")</f>
        <v>JAPAN</v>
      </c>
      <c r="F130" s="217" t="str">
        <f ca="1">IF(ISERROR($V130),"",OFFSET('Smelter Look-up'!$E$4,$V130-4,0))</f>
        <v>CID001192</v>
      </c>
      <c r="G130" s="217" t="str">
        <f ca="1">IF(C130=$X$4,"Enter smelter details",IF(ISERROR($V130),"",OFFSET('Smelter Look-up'!$F$4,$V130-4,0)))</f>
        <v>RMI</v>
      </c>
      <c r="H130" s="218">
        <f ca="1">IF(ISERROR($V130),"",OFFSET('Smelter Look-up'!$G$4,$V130-4,0))</f>
        <v>0</v>
      </c>
      <c r="I130" s="219" t="str">
        <f ca="1">IF(ISERROR($V130),"",OFFSET('Smelter Look-up'!$H$4,$V130-4,0))</f>
        <v>Omuta</v>
      </c>
      <c r="J130" s="219" t="str">
        <f ca="1">IF(ISERROR($V130),"",OFFSET('Smelter Look-up'!$I$4,$V130-4,0))</f>
        <v>Fukuoka</v>
      </c>
      <c r="K130" s="273"/>
      <c r="L130" s="273"/>
      <c r="M130" s="273"/>
      <c r="N130" s="273"/>
      <c r="O130" s="273"/>
      <c r="P130" s="220"/>
      <c r="Q130" s="274"/>
      <c r="R130" s="217" t="str">
        <f ca="1">IF(ISERROR($V130),"",OFFSET('Smelter Look-up'!$C$4,$V130-4,0)&amp;"")</f>
        <v>Mitsui Mining and Smelting Co., Ltd.</v>
      </c>
      <c r="S130" s="225" t="str">
        <f t="shared" ca="1" si="15"/>
        <v>JP</v>
      </c>
      <c r="T130" s="225" t="str">
        <f ca="1">IF(B130="","",IF(ISERROR(MATCH($J130,SorP!$B$1:$B$6230,0)),"",INDIRECT("'SorP'!$A$"&amp;MATCH($J130,SorP!$B$1:$B$6230,0))))</f>
        <v>JP-40</v>
      </c>
      <c r="U130" s="241"/>
      <c r="V130" s="275">
        <f ca="1">IF(C130="",NA(),MATCH($B130&amp;$C130,'Smelter Look-up'!$J:$J,0))</f>
        <v>328</v>
      </c>
      <c r="W130" s="276"/>
      <c r="X130" s="276">
        <f t="shared" ca="1" si="16"/>
        <v>0</v>
      </c>
      <c r="Y130" s="276"/>
      <c r="Z130" s="276"/>
      <c r="AB130" s="278" t="str">
        <f t="shared" ca="1" si="17"/>
        <v>TantalumMitsui Mining and Smelting Co., Ltd.</v>
      </c>
    </row>
    <row r="131" spans="1:28" s="277" customFormat="1" ht="38.25">
      <c r="A131" s="216" t="s">
        <v>777</v>
      </c>
      <c r="B131" s="217" t="str">
        <f ca="1">IF(LEN(A131)=0,"",INDEX('Smelter Look-up'!$A:$A,MATCH($A131,'Smelter Look-up'!$E:$E,0)))</f>
        <v>Tantalum</v>
      </c>
      <c r="C131" s="221" t="str">
        <f ca="1">IF(LEN(A131)=0,"",INDEX('Smelter Look-up'!$C:$C,MATCH($A131,'Smelter Look-up'!$E:$E,0)))</f>
        <v>QuantumClean</v>
      </c>
      <c r="D131" s="283"/>
      <c r="E131" s="217" t="str">
        <f ca="1">IF(ISERROR($V131),"",OFFSET('Smelter Look-up'!$D$4,$V131-4,0)&amp;"")</f>
        <v>UNITED STATES OF AMERICA</v>
      </c>
      <c r="F131" s="217" t="str">
        <f ca="1">IF(ISERROR($V131),"",OFFSET('Smelter Look-up'!$E$4,$V131-4,0))</f>
        <v>CID001508</v>
      </c>
      <c r="G131" s="217" t="str">
        <f ca="1">IF(C131=$X$4,"Enter smelter details",IF(ISERROR($V131),"",OFFSET('Smelter Look-up'!$F$4,$V131-4,0)))</f>
        <v>RMI</v>
      </c>
      <c r="H131" s="218">
        <f ca="1">IF(ISERROR($V131),"",OFFSET('Smelter Look-up'!$G$4,$V131-4,0))</f>
        <v>0</v>
      </c>
      <c r="I131" s="219" t="str">
        <f ca="1">IF(ISERROR($V131),"",OFFSET('Smelter Look-up'!$H$4,$V131-4,0))</f>
        <v>Carrollton</v>
      </c>
      <c r="J131" s="219" t="str">
        <f ca="1">IF(ISERROR($V131),"",OFFSET('Smelter Look-up'!$I$4,$V131-4,0))</f>
        <v>Texas</v>
      </c>
      <c r="K131" s="273"/>
      <c r="L131" s="273"/>
      <c r="M131" s="273"/>
      <c r="N131" s="273"/>
      <c r="O131" s="273"/>
      <c r="P131" s="220"/>
      <c r="Q131" s="274"/>
      <c r="R131" s="217" t="str">
        <f ca="1">IF(ISERROR($V131),"",OFFSET('Smelter Look-up'!$C$4,$V131-4,0)&amp;"")</f>
        <v>QuantumClean</v>
      </c>
      <c r="S131" s="225" t="str">
        <f t="shared" ca="1" si="15"/>
        <v>US</v>
      </c>
      <c r="T131" s="225" t="str">
        <f ca="1">IF(B131="","",IF(ISERROR(MATCH($J131,SorP!$B$1:$B$6230,0)),"",INDIRECT("'SorP'!$A$"&amp;MATCH($J131,SorP!$B$1:$B$6230,0))))</f>
        <v>US-TX</v>
      </c>
      <c r="U131" s="241"/>
      <c r="V131" s="275">
        <f ca="1">IF(C131="",NA(),MATCH($B131&amp;$C131,'Smelter Look-up'!$J:$J,0))</f>
        <v>336</v>
      </c>
      <c r="W131" s="276"/>
      <c r="X131" s="276">
        <f t="shared" ca="1" si="16"/>
        <v>0</v>
      </c>
      <c r="Y131" s="276"/>
      <c r="Z131" s="276"/>
      <c r="AB131" s="278" t="str">
        <f t="shared" ca="1" si="17"/>
        <v>TantalumQuantumClean</v>
      </c>
    </row>
    <row r="132" spans="1:28" s="277" customFormat="1" ht="76.5">
      <c r="A132" s="216" t="s">
        <v>1795</v>
      </c>
      <c r="B132" s="217" t="str">
        <f ca="1">IF(LEN(A132)=0,"",INDEX('Smelter Look-up'!$A:$A,MATCH($A132,'Smelter Look-up'!$E:$E,0)))</f>
        <v>Tantalum</v>
      </c>
      <c r="C132" s="221" t="str">
        <f ca="1">IF(LEN(A132)=0,"",INDEX('Smelter Look-up'!$C:$C,MATCH($A132,'Smelter Look-up'!$E:$E,0)))</f>
        <v>Resind Industria e Comercio Ltda.</v>
      </c>
      <c r="D132" s="283"/>
      <c r="E132" s="217" t="str">
        <f ca="1">IF(ISERROR($V132),"",OFFSET('Smelter Look-up'!$D$4,$V132-4,0)&amp;"")</f>
        <v>BRAZIL</v>
      </c>
      <c r="F132" s="217" t="str">
        <f ca="1">IF(ISERROR($V132),"",OFFSET('Smelter Look-up'!$E$4,$V132-4,0))</f>
        <v>CID002707</v>
      </c>
      <c r="G132" s="217" t="str">
        <f ca="1">IF(C132=$X$4,"Enter smelter details",IF(ISERROR($V132),"",OFFSET('Smelter Look-up'!$F$4,$V132-4,0)))</f>
        <v>RMI</v>
      </c>
      <c r="H132" s="218">
        <f ca="1">IF(ISERROR($V132),"",OFFSET('Smelter Look-up'!$G$4,$V132-4,0))</f>
        <v>0</v>
      </c>
      <c r="I132" s="219" t="str">
        <f ca="1">IF(ISERROR($V132),"",OFFSET('Smelter Look-up'!$H$4,$V132-4,0))</f>
        <v>São João del Rei</v>
      </c>
      <c r="J132" s="219" t="str">
        <f ca="1">IF(ISERROR($V132),"",OFFSET('Smelter Look-up'!$I$4,$V132-4,0))</f>
        <v>Minas gerais</v>
      </c>
      <c r="K132" s="273"/>
      <c r="L132" s="273"/>
      <c r="M132" s="273"/>
      <c r="N132" s="273"/>
      <c r="O132" s="273"/>
      <c r="P132" s="220"/>
      <c r="Q132" s="274"/>
      <c r="R132" s="217" t="str">
        <f ca="1">IF(ISERROR($V132),"",OFFSET('Smelter Look-up'!$C$4,$V132-4,0)&amp;"")</f>
        <v>Resind Industria e Comercio Ltda.</v>
      </c>
      <c r="S132" s="225" t="str">
        <f t="shared" ca="1" si="15"/>
        <v>BR</v>
      </c>
      <c r="T132" s="225" t="str">
        <f ca="1">IF(B132="","",IF(ISERROR(MATCH($J132,SorP!$B$1:$B$6230,0)),"",INDIRECT("'SorP'!$A$"&amp;MATCH($J132,SorP!$B$1:$B$6230,0))))</f>
        <v>BR-MG</v>
      </c>
      <c r="U132" s="241"/>
      <c r="V132" s="275">
        <f ca="1">IF(C132="",NA(),MATCH($B132&amp;$C132,'Smelter Look-up'!$J:$J,0))</f>
        <v>338</v>
      </c>
      <c r="W132" s="276"/>
      <c r="X132" s="276">
        <f t="shared" ca="1" si="16"/>
        <v>0</v>
      </c>
      <c r="Y132" s="276"/>
      <c r="Z132" s="276"/>
      <c r="AB132" s="278" t="str">
        <f t="shared" ca="1" si="17"/>
        <v>TantalumResind Industria e Comercio Ltda.</v>
      </c>
    </row>
    <row r="133" spans="1:28" s="277" customFormat="1" ht="127.5">
      <c r="A133" s="216" t="s">
        <v>778</v>
      </c>
      <c r="B133" s="217" t="str">
        <f ca="1">IF(LEN(A133)=0,"",INDEX('Smelter Look-up'!$A:$A,MATCH($A133,'Smelter Look-up'!$E:$E,0)))</f>
        <v>Tantalum</v>
      </c>
      <c r="C133" s="221" t="str">
        <f ca="1">IF(LEN(A133)=0,"",INDEX('Smelter Look-up'!$C:$C,MATCH($A133,'Smelter Look-up'!$E:$E,0)))</f>
        <v>Yanling Jincheng Tantalum &amp; Niobium Co., Ltd.</v>
      </c>
      <c r="D133" s="283"/>
      <c r="E133" s="217" t="str">
        <f ca="1">IF(ISERROR($V133),"",OFFSET('Smelter Look-up'!$D$4,$V133-4,0)&amp;"")</f>
        <v>CHINA</v>
      </c>
      <c r="F133" s="217" t="str">
        <f ca="1">IF(ISERROR($V133),"",OFFSET('Smelter Look-up'!$E$4,$V133-4,0))</f>
        <v>CID001522</v>
      </c>
      <c r="G133" s="217" t="str">
        <f ca="1">IF(C133=$X$4,"Enter smelter details",IF(ISERROR($V133),"",OFFSET('Smelter Look-up'!$F$4,$V133-4,0)))</f>
        <v>RMI</v>
      </c>
      <c r="H133" s="218">
        <f ca="1">IF(ISERROR($V133),"",OFFSET('Smelter Look-up'!$G$4,$V133-4,0))</f>
        <v>0</v>
      </c>
      <c r="I133" s="219" t="str">
        <f ca="1">IF(ISERROR($V133),"",OFFSET('Smelter Look-up'!$H$4,$V133-4,0))</f>
        <v>Zhuzhou</v>
      </c>
      <c r="J133" s="219" t="str">
        <f ca="1">IF(ISERROR($V133),"",OFFSET('Smelter Look-up'!$I$4,$V133-4,0))</f>
        <v>Hunan Sheng</v>
      </c>
      <c r="K133" s="273"/>
      <c r="L133" s="273"/>
      <c r="M133" s="273"/>
      <c r="N133" s="273"/>
      <c r="O133" s="273"/>
      <c r="P133" s="220"/>
      <c r="Q133" s="274"/>
      <c r="R133" s="217" t="str">
        <f ca="1">IF(ISERROR($V133),"",OFFSET('Smelter Look-up'!$C$4,$V133-4,0)&amp;"")</f>
        <v>Yanling Jincheng Tantalum &amp; Niobium Co., Ltd.</v>
      </c>
      <c r="S133" s="225" t="str">
        <f t="shared" ref="S133" ca="1" si="18">IF(B133="","",IF(ISERROR(MATCH($E133,CL,0)),"Unknown",INDIRECT("'C'!$A$"&amp;MATCH($E133,CL,0)+1)))</f>
        <v>CN</v>
      </c>
      <c r="T133" s="225" t="str">
        <f ca="1">IF(B133="","",IF(ISERROR(MATCH($J133,SorP!$B$1:$B$6230,0)),"",INDIRECT("'SorP'!$A$"&amp;MATCH($J133,SorP!$B$1:$B$6230,0))))</f>
        <v>CN-HN</v>
      </c>
      <c r="U133" s="241"/>
      <c r="V133" s="275">
        <f ca="1">IF(C133="",NA(),MATCH($B133&amp;$C133,'Smelter Look-up'!$J:$J,0))</f>
        <v>351</v>
      </c>
      <c r="W133" s="276"/>
      <c r="X133" s="276">
        <f t="shared" ref="X133" ca="1" si="19">IF(AND(C133="Smelter not listed",OR(LEN(D133)=0,LEN(E133)=0)),1,0)</f>
        <v>0</v>
      </c>
      <c r="Y133" s="276"/>
      <c r="Z133" s="276"/>
      <c r="AB133" s="278" t="str">
        <f t="shared" ref="AB133" ca="1" si="20">B133&amp;C133</f>
        <v>TantalumYanling Jincheng Tantalum &amp; Niobium Co., Ltd.</v>
      </c>
    </row>
    <row r="134" spans="1:28" s="277" customFormat="1" ht="89.25">
      <c r="A134" s="216" t="s">
        <v>779</v>
      </c>
      <c r="B134" s="217" t="str">
        <f ca="1">IF(LEN(A134)=0,"",INDEX('Smelter Look-up'!$A:$A,MATCH($A134,'Smelter Look-up'!$E:$E,0)))</f>
        <v>Tantalum</v>
      </c>
      <c r="C134" s="221" t="str">
        <f ca="1">IF(LEN(A134)=0,"",INDEX('Smelter Look-up'!$C:$C,MATCH($A134,'Smelter Look-up'!$E:$E,0)))</f>
        <v>Solikamsk Magnesium Works OAO</v>
      </c>
      <c r="D134" s="283"/>
      <c r="E134" s="217" t="str">
        <f ca="1">IF(ISERROR($V134),"",OFFSET('Smelter Look-up'!$D$4,$V134-4,0)&amp;"")</f>
        <v>RUSSIAN FEDERATION</v>
      </c>
      <c r="F134" s="217" t="str">
        <f ca="1">IF(ISERROR($V134),"",OFFSET('Smelter Look-up'!$E$4,$V134-4,0))</f>
        <v>CID001769</v>
      </c>
      <c r="G134" s="217" t="str">
        <f ca="1">IF(C134=$X$4,"Enter smelter details",IF(ISERROR($V134),"",OFFSET('Smelter Look-up'!$F$4,$V134-4,0)))</f>
        <v>RMI</v>
      </c>
      <c r="H134" s="218">
        <f ca="1">IF(ISERROR($V134),"",OFFSET('Smelter Look-up'!$G$4,$V134-4,0))</f>
        <v>0</v>
      </c>
      <c r="I134" s="219" t="str">
        <f ca="1">IF(ISERROR($V134),"",OFFSET('Smelter Look-up'!$H$4,$V134-4,0))</f>
        <v>Solikamsk</v>
      </c>
      <c r="J134" s="219" t="str">
        <f ca="1">IF(ISERROR($V134),"",OFFSET('Smelter Look-up'!$I$4,$V134-4,0))</f>
        <v>Permskiy kray</v>
      </c>
      <c r="K134" s="273"/>
      <c r="L134" s="273"/>
      <c r="M134" s="273"/>
      <c r="N134" s="273"/>
      <c r="O134" s="273"/>
      <c r="P134" s="220"/>
      <c r="Q134" s="274"/>
      <c r="R134" s="217" t="str">
        <f ca="1">IF(ISERROR($V134),"",OFFSET('Smelter Look-up'!$C$4,$V134-4,0)&amp;"")</f>
        <v>Solikamsk Magnesium Works OAO</v>
      </c>
      <c r="S134" s="225" t="str">
        <f t="shared" ref="S134:S165" ca="1" si="21">IF(B134="","",IF(ISERROR(MATCH($E134,CL,0)),"Unknown",INDIRECT("'C'!$A$"&amp;MATCH($E134,CL,0)+1)))</f>
        <v>RU</v>
      </c>
      <c r="T134" s="225" t="str">
        <f ca="1">IF(B134="","",IF(ISERROR(MATCH($J134,SorP!$B$1:$B$6230,0)),"",INDIRECT("'SorP'!$A$"&amp;MATCH($J134,SorP!$B$1:$B$6230,0))))</f>
        <v>RU-PER</v>
      </c>
      <c r="U134" s="241"/>
      <c r="V134" s="275">
        <f ca="1">IF(C134="",NA(),MATCH($B134&amp;$C134,'Smelter Look-up'!$J:$J,0))</f>
        <v>343</v>
      </c>
      <c r="W134" s="276"/>
      <c r="X134" s="276">
        <f t="shared" ref="X134:X165" ca="1" si="22">IF(AND(C134="Smelter not listed",OR(LEN(D134)=0,LEN(E134)=0)),1,0)</f>
        <v>0</v>
      </c>
      <c r="Y134" s="276"/>
      <c r="Z134" s="276"/>
      <c r="AB134" s="278" t="str">
        <f t="shared" ref="AB134:AB165" ca="1" si="23">B134&amp;C134</f>
        <v>TantalumSolikamsk Magnesium Works OAO</v>
      </c>
    </row>
    <row r="135" spans="1:28" s="277" customFormat="1" ht="63.75">
      <c r="A135" s="216" t="s">
        <v>780</v>
      </c>
      <c r="B135" s="217" t="str">
        <f ca="1">IF(LEN(A135)=0,"",INDEX('Smelter Look-up'!$A:$A,MATCH($A135,'Smelter Look-up'!$E:$E,0)))</f>
        <v>Tantalum</v>
      </c>
      <c r="C135" s="221" t="str">
        <f ca="1">IF(LEN(A135)=0,"",INDEX('Smelter Look-up'!$C:$C,MATCH($A135,'Smelter Look-up'!$E:$E,0)))</f>
        <v>Taki Chemical Co., Ltd.</v>
      </c>
      <c r="D135" s="283"/>
      <c r="E135" s="217" t="str">
        <f ca="1">IF(ISERROR($V135),"",OFFSET('Smelter Look-up'!$D$4,$V135-4,0)&amp;"")</f>
        <v>JAPAN</v>
      </c>
      <c r="F135" s="217" t="str">
        <f ca="1">IF(ISERROR($V135),"",OFFSET('Smelter Look-up'!$E$4,$V135-4,0))</f>
        <v>CID001869</v>
      </c>
      <c r="G135" s="217" t="str">
        <f ca="1">IF(C135=$X$4,"Enter smelter details",IF(ISERROR($V135),"",OFFSET('Smelter Look-up'!$F$4,$V135-4,0)))</f>
        <v>RMI</v>
      </c>
      <c r="H135" s="218">
        <f ca="1">IF(ISERROR($V135),"",OFFSET('Smelter Look-up'!$G$4,$V135-4,0))</f>
        <v>0</v>
      </c>
      <c r="I135" s="219" t="str">
        <f ca="1">IF(ISERROR($V135),"",OFFSET('Smelter Look-up'!$H$4,$V135-4,0))</f>
        <v>Harima</v>
      </c>
      <c r="J135" s="219" t="str">
        <f ca="1">IF(ISERROR($V135),"",OFFSET('Smelter Look-up'!$I$4,$V135-4,0))</f>
        <v>Hyogo</v>
      </c>
      <c r="K135" s="273"/>
      <c r="L135" s="273"/>
      <c r="M135" s="273"/>
      <c r="N135" s="273"/>
      <c r="O135" s="273"/>
      <c r="P135" s="220"/>
      <c r="Q135" s="274"/>
      <c r="R135" s="217" t="str">
        <f ca="1">IF(ISERROR($V135),"",OFFSET('Smelter Look-up'!$C$4,$V135-4,0)&amp;"")</f>
        <v>Taki Chemical Co., Ltd.</v>
      </c>
      <c r="S135" s="225" t="str">
        <f t="shared" ca="1" si="21"/>
        <v>JP</v>
      </c>
      <c r="T135" s="225" t="str">
        <f ca="1">IF(B135="","",IF(ISERROR(MATCH($J135,SorP!$B$1:$B$6230,0)),"",INDIRECT("'SorP'!$A$"&amp;MATCH($J135,SorP!$B$1:$B$6230,0))))</f>
        <v>JP-28</v>
      </c>
      <c r="U135" s="241"/>
      <c r="V135" s="275">
        <f ca="1">IF(C135="",NA(),MATCH($B135&amp;$C135,'Smelter Look-up'!$J:$J,0))</f>
        <v>345</v>
      </c>
      <c r="W135" s="276"/>
      <c r="X135" s="276">
        <f t="shared" ca="1" si="22"/>
        <v>0</v>
      </c>
      <c r="Y135" s="276"/>
      <c r="Z135" s="276"/>
      <c r="AB135" s="278" t="str">
        <f t="shared" ca="1" si="23"/>
        <v>TantalumTaki Chemical Co., Ltd.</v>
      </c>
    </row>
    <row r="136" spans="1:28" s="277" customFormat="1" ht="38.25">
      <c r="A136" s="216" t="s">
        <v>781</v>
      </c>
      <c r="B136" s="217" t="str">
        <f ca="1">IF(LEN(A136)=0,"",INDEX('Smelter Look-up'!$A:$A,MATCH($A136,'Smelter Look-up'!$E:$E,0)))</f>
        <v>Tantalum</v>
      </c>
      <c r="C136" s="221" t="str">
        <f ca="1">IF(LEN(A136)=0,"",INDEX('Smelter Look-up'!$C:$C,MATCH($A136,'Smelter Look-up'!$E:$E,0)))</f>
        <v>Telex Metals</v>
      </c>
      <c r="D136" s="283"/>
      <c r="E136" s="217" t="str">
        <f ca="1">IF(ISERROR($V136),"",OFFSET('Smelter Look-up'!$D$4,$V136-4,0)&amp;"")</f>
        <v>UNITED STATES OF AMERICA</v>
      </c>
      <c r="F136" s="217" t="str">
        <f ca="1">IF(ISERROR($V136),"",OFFSET('Smelter Look-up'!$E$4,$V136-4,0))</f>
        <v>CID001891</v>
      </c>
      <c r="G136" s="217" t="str">
        <f ca="1">IF(C136=$X$4,"Enter smelter details",IF(ISERROR($V136),"",OFFSET('Smelter Look-up'!$F$4,$V136-4,0)))</f>
        <v>RMI</v>
      </c>
      <c r="H136" s="218">
        <f ca="1">IF(ISERROR($V136),"",OFFSET('Smelter Look-up'!$G$4,$V136-4,0))</f>
        <v>0</v>
      </c>
      <c r="I136" s="219" t="str">
        <f ca="1">IF(ISERROR($V136),"",OFFSET('Smelter Look-up'!$H$4,$V136-4,0))</f>
        <v>Croydon</v>
      </c>
      <c r="J136" s="219" t="str">
        <f ca="1">IF(ISERROR($V136),"",OFFSET('Smelter Look-up'!$I$4,$V136-4,0))</f>
        <v>Pennsylvania</v>
      </c>
      <c r="K136" s="273"/>
      <c r="L136" s="273"/>
      <c r="M136" s="273"/>
      <c r="N136" s="273"/>
      <c r="O136" s="273"/>
      <c r="P136" s="220"/>
      <c r="Q136" s="274"/>
      <c r="R136" s="217" t="str">
        <f ca="1">IF(ISERROR($V136),"",OFFSET('Smelter Look-up'!$C$4,$V136-4,0)&amp;"")</f>
        <v>Telex Metals</v>
      </c>
      <c r="S136" s="225" t="str">
        <f t="shared" ca="1" si="21"/>
        <v>US</v>
      </c>
      <c r="T136" s="225" t="str">
        <f ca="1">IF(B136="","",IF(ISERROR(MATCH($J136,SorP!$B$1:$B$6230,0)),"",INDIRECT("'SorP'!$A$"&amp;MATCH($J136,SorP!$B$1:$B$6230,0))))</f>
        <v>US-PA</v>
      </c>
      <c r="U136" s="241"/>
      <c r="V136" s="275">
        <f ca="1">IF(C136="",NA(),MATCH($B136&amp;$C136,'Smelter Look-up'!$J:$J,0))</f>
        <v>347</v>
      </c>
      <c r="W136" s="276"/>
      <c r="X136" s="276">
        <f t="shared" ca="1" si="22"/>
        <v>0</v>
      </c>
      <c r="Y136" s="276"/>
      <c r="Z136" s="276"/>
      <c r="AB136" s="278" t="str">
        <f t="shared" ca="1" si="23"/>
        <v>TantalumTelex Metals</v>
      </c>
    </row>
    <row r="137" spans="1:28" s="277" customFormat="1" ht="127.5">
      <c r="A137" s="216" t="s">
        <v>1423</v>
      </c>
      <c r="B137" s="217" t="str">
        <f ca="1">IF(LEN(A137)=0,"",INDEX('Smelter Look-up'!$A:$A,MATCH($A137,'Smelter Look-up'!$E:$E,0)))</f>
        <v>Tantalum</v>
      </c>
      <c r="C137" s="221" t="str">
        <f ca="1">IF(LEN(A137)=0,"",INDEX('Smelter Look-up'!$C:$C,MATCH($A137,'Smelter Look-up'!$E:$E,0)))</f>
        <v>XinXing HaoRong Electronic Material Co., Ltd.</v>
      </c>
      <c r="D137" s="283"/>
      <c r="E137" s="217" t="str">
        <f ca="1">IF(ISERROR($V137),"",OFFSET('Smelter Look-up'!$D$4,$V137-4,0)&amp;"")</f>
        <v>CHINA</v>
      </c>
      <c r="F137" s="217" t="str">
        <f ca="1">IF(ISERROR($V137),"",OFFSET('Smelter Look-up'!$E$4,$V137-4,0))</f>
        <v>CID002508</v>
      </c>
      <c r="G137" s="217" t="str">
        <f ca="1">IF(C137=$X$4,"Enter smelter details",IF(ISERROR($V137),"",OFFSET('Smelter Look-up'!$F$4,$V137-4,0)))</f>
        <v>RMI</v>
      </c>
      <c r="H137" s="218">
        <f ca="1">IF(ISERROR($V137),"",OFFSET('Smelter Look-up'!$G$4,$V137-4,0))</f>
        <v>0</v>
      </c>
      <c r="I137" s="219" t="str">
        <f ca="1">IF(ISERROR($V137),"",OFFSET('Smelter Look-up'!$H$4,$V137-4,0))</f>
        <v>YunFu City</v>
      </c>
      <c r="J137" s="219" t="str">
        <f ca="1">IF(ISERROR($V137),"",OFFSET('Smelter Look-up'!$I$4,$V137-4,0))</f>
        <v>Guangdong Sheng</v>
      </c>
      <c r="K137" s="273"/>
      <c r="L137" s="273"/>
      <c r="M137" s="273"/>
      <c r="N137" s="273"/>
      <c r="O137" s="273"/>
      <c r="P137" s="220"/>
      <c r="Q137" s="274"/>
      <c r="R137" s="217" t="str">
        <f ca="1">IF(ISERROR($V137),"",OFFSET('Smelter Look-up'!$C$4,$V137-4,0)&amp;"")</f>
        <v>XinXing HaoRong Electronic Material Co., Ltd.</v>
      </c>
      <c r="S137" s="225" t="str">
        <f t="shared" ca="1" si="21"/>
        <v>CN</v>
      </c>
      <c r="T137" s="225" t="str">
        <f ca="1">IF(B137="","",IF(ISERROR(MATCH($J137,SorP!$B$1:$B$6230,0)),"",INDIRECT("'SorP'!$A$"&amp;MATCH($J137,SorP!$B$1:$B$6230,0))))</f>
        <v>CN-GD</v>
      </c>
      <c r="U137" s="241"/>
      <c r="V137" s="275">
        <f ca="1">IF(C137="",NA(),MATCH($B137&amp;$C137,'Smelter Look-up'!$J:$J,0))</f>
        <v>350</v>
      </c>
      <c r="W137" s="276"/>
      <c r="X137" s="276">
        <f t="shared" ca="1" si="22"/>
        <v>0</v>
      </c>
      <c r="Y137" s="276"/>
      <c r="Z137" s="276"/>
      <c r="AB137" s="278" t="str">
        <f t="shared" ca="1" si="23"/>
        <v>TantalumXinXing HaoRong Electronic Material Co., Ltd.</v>
      </c>
    </row>
    <row r="138" spans="1:28" s="277" customFormat="1" ht="25.5">
      <c r="A138" s="216" t="s">
        <v>783</v>
      </c>
      <c r="B138" s="217" t="str">
        <f ca="1">IF(LEN(A138)=0,"",INDEX('Smelter Look-up'!$A:$A,MATCH($A138,'Smelter Look-up'!$E:$E,0)))</f>
        <v>Tin</v>
      </c>
      <c r="C138" s="221" t="str">
        <f ca="1">IF(LEN(A138)=0,"",INDEX('Smelter Look-up'!$C:$C,MATCH($A138,'Smelter Look-up'!$E:$E,0)))</f>
        <v>Alpha</v>
      </c>
      <c r="D138" s="283"/>
      <c r="E138" s="217" t="str">
        <f ca="1">IF(ISERROR($V138),"",OFFSET('Smelter Look-up'!$D$4,$V138-4,0)&amp;"")</f>
        <v>UNITED STATES OF AMERICA</v>
      </c>
      <c r="F138" s="217" t="str">
        <f ca="1">IF(ISERROR($V138),"",OFFSET('Smelter Look-up'!$E$4,$V138-4,0))</f>
        <v>CID000292</v>
      </c>
      <c r="G138" s="217" t="str">
        <f ca="1">IF(C138=$X$4,"Enter smelter details",IF(ISERROR($V138),"",OFFSET('Smelter Look-up'!$F$4,$V138-4,0)))</f>
        <v>RMI</v>
      </c>
      <c r="H138" s="218">
        <f ca="1">IF(ISERROR($V138),"",OFFSET('Smelter Look-up'!$G$4,$V138-4,0))</f>
        <v>0</v>
      </c>
      <c r="I138" s="219" t="str">
        <f ca="1">IF(ISERROR($V138),"",OFFSET('Smelter Look-up'!$H$4,$V138-4,0))</f>
        <v>Altoona</v>
      </c>
      <c r="J138" s="219" t="str">
        <f ca="1">IF(ISERROR($V138),"",OFFSET('Smelter Look-up'!$I$4,$V138-4,0))</f>
        <v>Pennsylvania</v>
      </c>
      <c r="K138" s="273"/>
      <c r="L138" s="273"/>
      <c r="M138" s="273"/>
      <c r="N138" s="273"/>
      <c r="O138" s="273"/>
      <c r="P138" s="220"/>
      <c r="Q138" s="274"/>
      <c r="R138" s="217" t="str">
        <f ca="1">IF(ISERROR($V138),"",OFFSET('Smelter Look-up'!$C$4,$V138-4,0)&amp;"")</f>
        <v>Alpha</v>
      </c>
      <c r="S138" s="225" t="str">
        <f t="shared" ca="1" si="21"/>
        <v>US</v>
      </c>
      <c r="T138" s="225" t="str">
        <f ca="1">IF(B138="","",IF(ISERROR(MATCH($J138,SorP!$B$1:$B$6230,0)),"",INDIRECT("'SorP'!$A$"&amp;MATCH($J138,SorP!$B$1:$B$6230,0))))</f>
        <v>US-PA</v>
      </c>
      <c r="U138" s="241"/>
      <c r="V138" s="275">
        <f ca="1">IF(C138="",NA(),MATCH($B138&amp;$C138,'Smelter Look-up'!$J:$J,0))</f>
        <v>356</v>
      </c>
      <c r="W138" s="276"/>
      <c r="X138" s="276">
        <f t="shared" ca="1" si="22"/>
        <v>0</v>
      </c>
      <c r="Y138" s="276"/>
      <c r="Z138" s="276"/>
      <c r="AB138" s="278" t="str">
        <f t="shared" ca="1" si="23"/>
        <v>TinAlpha</v>
      </c>
    </row>
    <row r="139" spans="1:28" s="277" customFormat="1" ht="25.5">
      <c r="A139" s="216" t="s">
        <v>794</v>
      </c>
      <c r="B139" s="217" t="str">
        <f ca="1">IF(LEN(A139)=0,"",INDEX('Smelter Look-up'!$A:$A,MATCH($A139,'Smelter Look-up'!$E:$E,0)))</f>
        <v>Tin</v>
      </c>
      <c r="C139" s="221" t="str">
        <f ca="1">IF(LEN(A139)=0,"",INDEX('Smelter Look-up'!$C:$C,MATCH($A139,'Smelter Look-up'!$E:$E,0)))</f>
        <v>Minsur</v>
      </c>
      <c r="D139" s="283"/>
      <c r="E139" s="217" t="str">
        <f ca="1">IF(ISERROR($V139),"",OFFSET('Smelter Look-up'!$D$4,$V139-4,0)&amp;"")</f>
        <v>PERU</v>
      </c>
      <c r="F139" s="217" t="str">
        <f ca="1">IF(ISERROR($V139),"",OFFSET('Smelter Look-up'!$E$4,$V139-4,0))</f>
        <v>CID001182</v>
      </c>
      <c r="G139" s="217" t="str">
        <f ca="1">IF(C139=$X$4,"Enter smelter details",IF(ISERROR($V139),"",OFFSET('Smelter Look-up'!$F$4,$V139-4,0)))</f>
        <v>RMI</v>
      </c>
      <c r="H139" s="218">
        <f ca="1">IF(ISERROR($V139),"",OFFSET('Smelter Look-up'!$G$4,$V139-4,0))</f>
        <v>0</v>
      </c>
      <c r="I139" s="219" t="str">
        <f ca="1">IF(ISERROR($V139),"",OFFSET('Smelter Look-up'!$H$4,$V139-4,0))</f>
        <v>Paracas</v>
      </c>
      <c r="J139" s="219" t="str">
        <f ca="1">IF(ISERROR($V139),"",OFFSET('Smelter Look-up'!$I$4,$V139-4,0))</f>
        <v>Ika</v>
      </c>
      <c r="K139" s="273"/>
      <c r="L139" s="273"/>
      <c r="M139" s="273"/>
      <c r="N139" s="273"/>
      <c r="O139" s="273"/>
      <c r="P139" s="220"/>
      <c r="Q139" s="274"/>
      <c r="R139" s="217" t="str">
        <f ca="1">IF(ISERROR($V139),"",OFFSET('Smelter Look-up'!$C$4,$V139-4,0)&amp;"")</f>
        <v>Minsur</v>
      </c>
      <c r="S139" s="225" t="str">
        <f t="shared" ca="1" si="21"/>
        <v>PE</v>
      </c>
      <c r="T139" s="225" t="str">
        <f ca="1">IF(B139="","",IF(ISERROR(MATCH($J139,SorP!$B$1:$B$6230,0)),"",INDIRECT("'SorP'!$A$"&amp;MATCH($J139,SorP!$B$1:$B$6230,0))))</f>
        <v>PE-ICA</v>
      </c>
      <c r="U139" s="241"/>
      <c r="V139" s="275">
        <f ca="1">IF(C139="",NA(),MATCH($B139&amp;$C139,'Smelter Look-up'!$J:$J,0))</f>
        <v>424</v>
      </c>
      <c r="W139" s="276"/>
      <c r="X139" s="276">
        <f t="shared" ca="1" si="22"/>
        <v>0</v>
      </c>
      <c r="Y139" s="276"/>
      <c r="Z139" s="276"/>
      <c r="AB139" s="278" t="str">
        <f t="shared" ca="1" si="23"/>
        <v>TinMinsur</v>
      </c>
    </row>
    <row r="140" spans="1:28" s="277" customFormat="1" ht="63.75">
      <c r="A140" s="216" t="s">
        <v>798</v>
      </c>
      <c r="B140" s="217" t="str">
        <f ca="1">IF(LEN(A140)=0,"",INDEX('Smelter Look-up'!$A:$A,MATCH($A140,'Smelter Look-up'!$E:$E,0)))</f>
        <v>Tin</v>
      </c>
      <c r="C140" s="221" t="str">
        <f ca="1">IF(LEN(A140)=0,"",INDEX('Smelter Look-up'!$C:$C,MATCH($A140,'Smelter Look-up'!$E:$E,0)))</f>
        <v>Operaciones Metalurgicas S.A.</v>
      </c>
      <c r="D140" s="283"/>
      <c r="E140" s="217" t="str">
        <f ca="1">IF(ISERROR($V140),"",OFFSET('Smelter Look-up'!$D$4,$V140-4,0)&amp;"")</f>
        <v>BOLIVIA (PLURINATIONAL STATE OF)</v>
      </c>
      <c r="F140" s="217" t="str">
        <f ca="1">IF(ISERROR($V140),"",OFFSET('Smelter Look-up'!$E$4,$V140-4,0))</f>
        <v>CID001337</v>
      </c>
      <c r="G140" s="217" t="str">
        <f ca="1">IF(C140=$X$4,"Enter smelter details",IF(ISERROR($V140),"",OFFSET('Smelter Look-up'!$F$4,$V140-4,0)))</f>
        <v>RMI</v>
      </c>
      <c r="H140" s="218">
        <f ca="1">IF(ISERROR($V140),"",OFFSET('Smelter Look-up'!$G$4,$V140-4,0))</f>
        <v>0</v>
      </c>
      <c r="I140" s="219" t="str">
        <f ca="1">IF(ISERROR($V140),"",OFFSET('Smelter Look-up'!$H$4,$V140-4,0))</f>
        <v>Oruro</v>
      </c>
      <c r="J140" s="219" t="str">
        <f ca="1">IF(ISERROR($V140),"",OFFSET('Smelter Look-up'!$I$4,$V140-4,0))</f>
        <v>Oruro</v>
      </c>
      <c r="K140" s="273"/>
      <c r="L140" s="273"/>
      <c r="M140" s="273"/>
      <c r="N140" s="273"/>
      <c r="O140" s="273"/>
      <c r="P140" s="220"/>
      <c r="Q140" s="274"/>
      <c r="R140" s="217" t="str">
        <f ca="1">IF(ISERROR($V140),"",OFFSET('Smelter Look-up'!$C$4,$V140-4,0)&amp;"")</f>
        <v>Operaciones Metalurgicas S.A.</v>
      </c>
      <c r="S140" s="225" t="str">
        <f t="shared" ca="1" si="21"/>
        <v>BO</v>
      </c>
      <c r="T140" s="225" t="str">
        <f ca="1">IF(B140="","",IF(ISERROR(MATCH($J140,SorP!$B$1:$B$6230,0)),"",INDIRECT("'SorP'!$A$"&amp;MATCH($J140,SorP!$B$1:$B$6230,0))))</f>
        <v>BO-O</v>
      </c>
      <c r="U140" s="241"/>
      <c r="V140" s="275">
        <f ca="1">IF(C140="",NA(),MATCH($B140&amp;$C140,'Smelter Look-up'!$J:$J,0))</f>
        <v>434</v>
      </c>
      <c r="W140" s="276"/>
      <c r="X140" s="276">
        <f t="shared" ca="1" si="22"/>
        <v>0</v>
      </c>
      <c r="Y140" s="276"/>
      <c r="Z140" s="276"/>
      <c r="AB140" s="278" t="str">
        <f t="shared" ca="1" si="23"/>
        <v>TinOperaciones Metalurgicas S.A.</v>
      </c>
    </row>
    <row r="141" spans="1:28" s="277" customFormat="1" ht="51">
      <c r="A141" s="216" t="s">
        <v>15523</v>
      </c>
      <c r="B141" s="217" t="s">
        <v>1154</v>
      </c>
      <c r="C141" s="348" t="s">
        <v>15524</v>
      </c>
      <c r="D141" s="283"/>
      <c r="E141" s="217" t="s">
        <v>1128</v>
      </c>
      <c r="F141" s="217" t="s">
        <v>15523</v>
      </c>
      <c r="G141" s="217" t="s">
        <v>13577</v>
      </c>
      <c r="H141" s="218" t="str">
        <f ca="1">IF(ISERROR($V141),"",OFFSET('Smelter Look-up'!$G$4,$V141-4,0))</f>
        <v/>
      </c>
      <c r="I141" s="350" t="s">
        <v>1805</v>
      </c>
      <c r="J141" s="350" t="s">
        <v>13183</v>
      </c>
      <c r="K141" s="273"/>
      <c r="L141" s="273"/>
      <c r="M141" s="273"/>
      <c r="N141" s="273"/>
      <c r="O141" s="273"/>
      <c r="P141" s="220"/>
      <c r="Q141" s="274"/>
      <c r="R141" s="217" t="str">
        <f ca="1">IF(ISERROR($V141),"",OFFSET('Smelter Look-up'!$C$4,$V141-4,0)&amp;"")</f>
        <v/>
      </c>
      <c r="S141" s="225" t="str">
        <f t="shared" ca="1" si="21"/>
        <v>ID</v>
      </c>
      <c r="T141" s="225" t="str">
        <f ca="1">IF(B141="","",IF(ISERROR(MATCH($J141,SorP!$B$1:$B$6230,0)),"",INDIRECT("'SorP'!$A$"&amp;MATCH($J141,SorP!$B$1:$B$6230,0))))</f>
        <v>ID-BB</v>
      </c>
      <c r="U141" s="241"/>
      <c r="V141" s="275" t="e">
        <f>IF(C141="",NA(),MATCH($B141&amp;$C141,'Smelter Look-up'!$J:$J,0))</f>
        <v>#N/A</v>
      </c>
      <c r="W141" s="276"/>
      <c r="X141" s="276">
        <f t="shared" si="22"/>
        <v>0</v>
      </c>
      <c r="Y141" s="276"/>
      <c r="Z141" s="276"/>
      <c r="AB141" s="278" t="str">
        <f t="shared" si="23"/>
        <v>TinPT Inti Stania Prima</v>
      </c>
    </row>
    <row r="142" spans="1:28" s="277" customFormat="1" ht="51">
      <c r="A142" s="216" t="s">
        <v>800</v>
      </c>
      <c r="B142" s="217" t="str">
        <f ca="1">IF(LEN(A142)=0,"",INDEX('Smelter Look-up'!$A:$A,MATCH($A142,'Smelter Look-up'!$E:$E,0)))</f>
        <v>Tin</v>
      </c>
      <c r="C142" s="221" t="str">
        <f ca="1">IF(LEN(A142)=0,"",INDEX('Smelter Look-up'!$C:$C,MATCH($A142,'Smelter Look-up'!$E:$E,0)))</f>
        <v>PT Mitra Stania Prima</v>
      </c>
      <c r="D142" s="283"/>
      <c r="E142" s="217" t="str">
        <f ca="1">IF(ISERROR($V142),"",OFFSET('Smelter Look-up'!$D$4,$V142-4,0)&amp;"")</f>
        <v>INDONESIA</v>
      </c>
      <c r="F142" s="217" t="str">
        <f ca="1">IF(ISERROR($V142),"",OFFSET('Smelter Look-up'!$E$4,$V142-4,0))</f>
        <v>CID001453</v>
      </c>
      <c r="G142" s="217" t="str">
        <f ca="1">IF(C142=$X$4,"Enter smelter details",IF(ISERROR($V142),"",OFFSET('Smelter Look-up'!$F$4,$V142-4,0)))</f>
        <v>RMI</v>
      </c>
      <c r="H142" s="218">
        <f ca="1">IF(ISERROR($V142),"",OFFSET('Smelter Look-up'!$G$4,$V142-4,0))</f>
        <v>0</v>
      </c>
      <c r="I142" s="219" t="str">
        <f ca="1">IF(ISERROR($V142),"",OFFSET('Smelter Look-up'!$H$4,$V142-4,0))</f>
        <v>Sungailiat</v>
      </c>
      <c r="J142" s="219" t="str">
        <f ca="1">IF(ISERROR($V142),"",OFFSET('Smelter Look-up'!$I$4,$V142-4,0))</f>
        <v>Kepulauan Bangka Belitung</v>
      </c>
      <c r="K142" s="273"/>
      <c r="L142" s="273"/>
      <c r="M142" s="273"/>
      <c r="N142" s="273"/>
      <c r="O142" s="273"/>
      <c r="P142" s="220"/>
      <c r="Q142" s="274"/>
      <c r="R142" s="217" t="str">
        <f ca="1">IF(ISERROR($V142),"",OFFSET('Smelter Look-up'!$C$4,$V142-4,0)&amp;"")</f>
        <v>PT Mitra Stania Prima</v>
      </c>
      <c r="S142" s="225" t="str">
        <f t="shared" ca="1" si="21"/>
        <v>ID</v>
      </c>
      <c r="T142" s="225" t="str">
        <f ca="1">IF(B142="","",IF(ISERROR(MATCH($J142,SorP!$B$1:$B$6230,0)),"",INDIRECT("'SorP'!$A$"&amp;MATCH($J142,SorP!$B$1:$B$6230,0))))</f>
        <v>ID-BB</v>
      </c>
      <c r="U142" s="241"/>
      <c r="V142" s="275">
        <f ca="1">IF(C142="",NA(),MATCH($B142&amp;$C142,'Smelter Look-up'!$J:$J,0))</f>
        <v>441</v>
      </c>
      <c r="W142" s="276"/>
      <c r="X142" s="276">
        <f t="shared" ca="1" si="22"/>
        <v>0</v>
      </c>
      <c r="Y142" s="276"/>
      <c r="Z142" s="276"/>
      <c r="AB142" s="278" t="str">
        <f t="shared" ca="1" si="23"/>
        <v>TinPT Mitra Stania Prima</v>
      </c>
    </row>
    <row r="143" spans="1:28" s="277" customFormat="1" ht="63.75">
      <c r="A143" s="216" t="s">
        <v>15525</v>
      </c>
      <c r="B143" s="217" t="s">
        <v>1154</v>
      </c>
      <c r="C143" s="348" t="s">
        <v>15526</v>
      </c>
      <c r="D143" s="283"/>
      <c r="E143" s="217" t="s">
        <v>1128</v>
      </c>
      <c r="F143" s="217" t="s">
        <v>15525</v>
      </c>
      <c r="G143" s="217" t="s">
        <v>13577</v>
      </c>
      <c r="H143" s="218" t="str">
        <f ca="1">IF(ISERROR($V143),"",OFFSET('Smelter Look-up'!$G$4,$V143-4,0))</f>
        <v/>
      </c>
      <c r="I143" s="350" t="s">
        <v>15527</v>
      </c>
      <c r="J143" s="350" t="s">
        <v>13183</v>
      </c>
      <c r="K143" s="273"/>
      <c r="L143" s="273"/>
      <c r="M143" s="273"/>
      <c r="N143" s="273"/>
      <c r="O143" s="273"/>
      <c r="P143" s="220"/>
      <c r="Q143" s="274"/>
      <c r="R143" s="217" t="str">
        <f ca="1">IF(ISERROR($V143),"",OFFSET('Smelter Look-up'!$C$4,$V143-4,0)&amp;"")</f>
        <v/>
      </c>
      <c r="S143" s="225" t="str">
        <f t="shared" ca="1" si="21"/>
        <v>ID</v>
      </c>
      <c r="T143" s="225" t="str">
        <f ca="1">IF(B143="","",IF(ISERROR(MATCH($J143,SorP!$B$1:$B$6230,0)),"",INDIRECT("'SorP'!$A$"&amp;MATCH($J143,SorP!$B$1:$B$6230,0))))</f>
        <v>ID-BB</v>
      </c>
      <c r="U143" s="241"/>
      <c r="V143" s="275" t="e">
        <f>IF(C143="",NA(),MATCH($B143&amp;$C143,'Smelter Look-up'!$J:$J,0))</f>
        <v>#N/A</v>
      </c>
      <c r="W143" s="276"/>
      <c r="X143" s="276">
        <f t="shared" si="22"/>
        <v>0</v>
      </c>
      <c r="Y143" s="276"/>
      <c r="Z143" s="276"/>
      <c r="AB143" s="278" t="str">
        <f t="shared" si="23"/>
        <v>TinPT Sariwiguna Binasentosa</v>
      </c>
    </row>
    <row r="144" spans="1:28" s="277" customFormat="1" ht="76.5">
      <c r="A144" s="216" t="s">
        <v>807</v>
      </c>
      <c r="B144" s="217" t="str">
        <f ca="1">IF(LEN(A144)=0,"",INDEX('Smelter Look-up'!$A:$A,MATCH($A144,'Smelter Look-up'!$E:$E,0)))</f>
        <v>Tin</v>
      </c>
      <c r="C144" s="221" t="str">
        <f ca="1">IF(LEN(A144)=0,"",INDEX('Smelter Look-up'!$C:$C,MATCH($A144,'Smelter Look-up'!$E:$E,0)))</f>
        <v>White Solder Metalurgia e Mineracao Ltda.</v>
      </c>
      <c r="D144" s="283"/>
      <c r="E144" s="217" t="str">
        <f ca="1">IF(ISERROR($V144),"",OFFSET('Smelter Look-up'!$D$4,$V144-4,0)&amp;"")</f>
        <v>BRAZIL</v>
      </c>
      <c r="F144" s="217" t="str">
        <f ca="1">IF(ISERROR($V144),"",OFFSET('Smelter Look-up'!$E$4,$V144-4,0))</f>
        <v>CID002036</v>
      </c>
      <c r="G144" s="217" t="str">
        <f ca="1">IF(C144=$X$4,"Enter smelter details",IF(ISERROR($V144),"",OFFSET('Smelter Look-up'!$F$4,$V144-4,0)))</f>
        <v>RMI</v>
      </c>
      <c r="H144" s="218">
        <f ca="1">IF(ISERROR($V144),"",OFFSET('Smelter Look-up'!$G$4,$V144-4,0))</f>
        <v>0</v>
      </c>
      <c r="I144" s="219" t="str">
        <f ca="1">IF(ISERROR($V144),"",OFFSET('Smelter Look-up'!$H$4,$V144-4,0))</f>
        <v>Ariquemes</v>
      </c>
      <c r="J144" s="219" t="str">
        <f ca="1">IF(ISERROR($V144),"",OFFSET('Smelter Look-up'!$I$4,$V144-4,0))</f>
        <v>Rondônia</v>
      </c>
      <c r="K144" s="273"/>
      <c r="L144" s="273"/>
      <c r="M144" s="273"/>
      <c r="N144" s="273"/>
      <c r="O144" s="273"/>
      <c r="P144" s="220"/>
      <c r="Q144" s="274"/>
      <c r="R144" s="217" t="str">
        <f ca="1">IF(ISERROR($V144),"",OFFSET('Smelter Look-up'!$C$4,$V144-4,0)&amp;"")</f>
        <v>White Solder Metalurgia e Mineracao Ltda.</v>
      </c>
      <c r="S144" s="225" t="str">
        <f t="shared" ca="1" si="21"/>
        <v>BR</v>
      </c>
      <c r="T144" s="225" t="str">
        <f ca="1">IF(B144="","",IF(ISERROR(MATCH($J144,SorP!$B$1:$B$6230,0)),"",INDIRECT("'SorP'!$A$"&amp;MATCH($J144,SorP!$B$1:$B$6230,0))))</f>
        <v>BR-RO</v>
      </c>
      <c r="U144" s="241"/>
      <c r="V144" s="275">
        <f ca="1">IF(C144="",NA(),MATCH($B144&amp;$C144,'Smelter Look-up'!$J:$J,0))</f>
        <v>465</v>
      </c>
      <c r="W144" s="276"/>
      <c r="X144" s="276">
        <f t="shared" ca="1" si="22"/>
        <v>0</v>
      </c>
      <c r="Y144" s="276"/>
      <c r="Z144" s="276"/>
      <c r="AB144" s="278" t="str">
        <f t="shared" ca="1" si="23"/>
        <v>TinWhite Solder Metalurgia e Mineracao Ltda.</v>
      </c>
    </row>
    <row r="145" spans="1:28" s="277" customFormat="1" ht="51">
      <c r="A145" s="216" t="s">
        <v>15528</v>
      </c>
      <c r="B145" s="217" t="s">
        <v>1154</v>
      </c>
      <c r="C145" s="348" t="s">
        <v>15529</v>
      </c>
      <c r="D145" s="283"/>
      <c r="E145" s="217" t="s">
        <v>1128</v>
      </c>
      <c r="F145" s="217" t="s">
        <v>15528</v>
      </c>
      <c r="G145" s="217" t="s">
        <v>13577</v>
      </c>
      <c r="H145" s="218" t="str">
        <f ca="1">IF(ISERROR($V145),"",OFFSET('Smelter Look-up'!$G$4,$V145-4,0))</f>
        <v/>
      </c>
      <c r="I145" s="350" t="s">
        <v>15527</v>
      </c>
      <c r="J145" s="350" t="s">
        <v>13183</v>
      </c>
      <c r="K145" s="273"/>
      <c r="L145" s="273"/>
      <c r="M145" s="273"/>
      <c r="N145" s="273"/>
      <c r="O145" s="273"/>
      <c r="P145" s="220"/>
      <c r="Q145" s="274"/>
      <c r="R145" s="217" t="str">
        <f ca="1">IF(ISERROR($V145),"",OFFSET('Smelter Look-up'!$C$4,$V145-4,0)&amp;"")</f>
        <v/>
      </c>
      <c r="S145" s="225" t="str">
        <f t="shared" ca="1" si="21"/>
        <v>ID</v>
      </c>
      <c r="T145" s="225" t="str">
        <f ca="1">IF(B145="","",IF(ISERROR(MATCH($J145,SorP!$B$1:$B$6230,0)),"",INDIRECT("'SorP'!$A$"&amp;MATCH($J145,SorP!$B$1:$B$6230,0))))</f>
        <v>ID-BB</v>
      </c>
      <c r="U145" s="241"/>
      <c r="V145" s="275" t="e">
        <f>IF(C145="",NA(),MATCH($B145&amp;$C145,'Smelter Look-up'!$J:$J,0))</f>
        <v>#N/A</v>
      </c>
      <c r="W145" s="276"/>
      <c r="X145" s="276">
        <f t="shared" si="22"/>
        <v>0</v>
      </c>
      <c r="Y145" s="276"/>
      <c r="Z145" s="276"/>
      <c r="AB145" s="278" t="str">
        <f t="shared" si="23"/>
        <v>TinCV Venus Inti Perkasa</v>
      </c>
    </row>
    <row r="146" spans="1:28" s="277" customFormat="1" ht="38.25">
      <c r="A146" s="216" t="s">
        <v>15530</v>
      </c>
      <c r="B146" s="217" t="s">
        <v>1154</v>
      </c>
      <c r="C146" s="348" t="s">
        <v>15531</v>
      </c>
      <c r="D146" s="283"/>
      <c r="E146" s="217" t="s">
        <v>1128</v>
      </c>
      <c r="F146" s="217" t="s">
        <v>15530</v>
      </c>
      <c r="G146" s="217" t="s">
        <v>13577</v>
      </c>
      <c r="H146" s="218" t="str">
        <f ca="1">IF(ISERROR($V146),"",OFFSET('Smelter Look-up'!$G$4,$V146-4,0))</f>
        <v/>
      </c>
      <c r="I146" s="350" t="s">
        <v>15527</v>
      </c>
      <c r="J146" s="350" t="s">
        <v>13183</v>
      </c>
      <c r="K146" s="273"/>
      <c r="L146" s="273"/>
      <c r="M146" s="273"/>
      <c r="N146" s="273"/>
      <c r="O146" s="273"/>
      <c r="P146" s="220"/>
      <c r="Q146" s="274"/>
      <c r="R146" s="217" t="str">
        <f ca="1">IF(ISERROR($V146),"",OFFSET('Smelter Look-up'!$C$4,$V146-4,0)&amp;"")</f>
        <v/>
      </c>
      <c r="S146" s="225" t="str">
        <f t="shared" ca="1" si="21"/>
        <v>ID</v>
      </c>
      <c r="T146" s="225" t="str">
        <f ca="1">IF(B146="","",IF(ISERROR(MATCH($J146,SorP!$B$1:$B$6230,0)),"",INDIRECT("'SorP'!$A$"&amp;MATCH($J146,SorP!$B$1:$B$6230,0))))</f>
        <v>ID-BB</v>
      </c>
      <c r="U146" s="241"/>
      <c r="V146" s="275" t="e">
        <f>IF(C146="",NA(),MATCH($B146&amp;$C146,'Smelter Look-up'!$J:$J,0))</f>
        <v>#N/A</v>
      </c>
      <c r="W146" s="276"/>
      <c r="X146" s="276">
        <f t="shared" si="22"/>
        <v>0</v>
      </c>
      <c r="Y146" s="276"/>
      <c r="Z146" s="276"/>
      <c r="AB146" s="278" t="str">
        <f t="shared" si="23"/>
        <v>TinPT DS Jaya Abadi</v>
      </c>
    </row>
    <row r="147" spans="1:28" s="277" customFormat="1" ht="51">
      <c r="A147" s="216" t="str">
        <f>'[1]Smelter List'!$A$153</f>
        <v>CID001458</v>
      </c>
      <c r="B147" s="217" t="s">
        <v>1154</v>
      </c>
      <c r="C147" s="348" t="s">
        <v>15533</v>
      </c>
      <c r="D147" s="283"/>
      <c r="E147" s="217" t="s">
        <v>1128</v>
      </c>
      <c r="F147" s="217" t="s">
        <v>15532</v>
      </c>
      <c r="G147" s="217" t="s">
        <v>13577</v>
      </c>
      <c r="H147" s="218" t="str">
        <f ca="1">IF(ISERROR($V147),"",OFFSET('Smelter Look-up'!$G$4,$V147-4,0))</f>
        <v/>
      </c>
      <c r="I147" s="350" t="s">
        <v>15527</v>
      </c>
      <c r="J147" s="350" t="s">
        <v>13183</v>
      </c>
      <c r="K147" s="273"/>
      <c r="L147" s="273"/>
      <c r="M147" s="273"/>
      <c r="N147" s="273"/>
      <c r="O147" s="273"/>
      <c r="P147" s="220"/>
      <c r="Q147" s="274"/>
      <c r="R147" s="217" t="str">
        <f ca="1">IF(ISERROR($V147),"",OFFSET('Smelter Look-up'!$C$4,$V147-4,0)&amp;"")</f>
        <v/>
      </c>
      <c r="S147" s="225" t="str">
        <f t="shared" ca="1" si="21"/>
        <v>ID</v>
      </c>
      <c r="T147" s="225" t="str">
        <f ca="1">IF(B147="","",IF(ISERROR(MATCH($J147,SorP!$B$1:$B$6230,0)),"",INDIRECT("'SorP'!$A$"&amp;MATCH($J147,SorP!$B$1:$B$6230,0))))</f>
        <v>ID-BB</v>
      </c>
      <c r="U147" s="241"/>
      <c r="V147" s="275" t="e">
        <f>IF(C147="",NA(),MATCH($B147&amp;$C147,'Smelter Look-up'!$J:$J,0))</f>
        <v>#N/A</v>
      </c>
      <c r="W147" s="276"/>
      <c r="X147" s="276">
        <f t="shared" si="22"/>
        <v>0</v>
      </c>
      <c r="Y147" s="276"/>
      <c r="Z147" s="276"/>
      <c r="AB147" s="278" t="str">
        <f t="shared" si="23"/>
        <v>TinPT Prima Timah Utama</v>
      </c>
    </row>
    <row r="148" spans="1:28" s="277" customFormat="1" ht="51">
      <c r="A148" s="216" t="s">
        <v>793</v>
      </c>
      <c r="B148" s="217" t="str">
        <f ca="1">IF(LEN(A148)=0,"",INDEX('Smelter Look-up'!$A:$A,MATCH($A148,'Smelter Look-up'!$E:$E,0)))</f>
        <v>Tin</v>
      </c>
      <c r="C148" s="221" t="str">
        <f ca="1">IF(LEN(A148)=0,"",INDEX('Smelter Look-up'!$C:$C,MATCH($A148,'Smelter Look-up'!$E:$E,0)))</f>
        <v>Mineracao Taboca S.A.</v>
      </c>
      <c r="D148" s="283"/>
      <c r="E148" s="217" t="str">
        <f ca="1">IF(ISERROR($V148),"",OFFSET('Smelter Look-up'!$D$4,$V148-4,0)&amp;"")</f>
        <v>BRAZIL</v>
      </c>
      <c r="F148" s="217" t="str">
        <f ca="1">IF(ISERROR($V148),"",OFFSET('Smelter Look-up'!$E$4,$V148-4,0))</f>
        <v>CID001173</v>
      </c>
      <c r="G148" s="217" t="str">
        <f ca="1">IF(C148=$X$4,"Enter smelter details",IF(ISERROR($V148),"",OFFSET('Smelter Look-up'!$F$4,$V148-4,0)))</f>
        <v>RMI</v>
      </c>
      <c r="H148" s="218">
        <f ca="1">IF(ISERROR($V148),"",OFFSET('Smelter Look-up'!$G$4,$V148-4,0))</f>
        <v>0</v>
      </c>
      <c r="I148" s="219" t="str">
        <f ca="1">IF(ISERROR($V148),"",OFFSET('Smelter Look-up'!$H$4,$V148-4,0))</f>
        <v>Bairro Guarapiranga</v>
      </c>
      <c r="J148" s="219" t="str">
        <f ca="1">IF(ISERROR($V148),"",OFFSET('Smelter Look-up'!$I$4,$V148-4,0))</f>
        <v>São Paulo</v>
      </c>
      <c r="K148" s="273"/>
      <c r="L148" s="273"/>
      <c r="M148" s="273"/>
      <c r="N148" s="273"/>
      <c r="O148" s="273"/>
      <c r="P148" s="220"/>
      <c r="Q148" s="274"/>
      <c r="R148" s="217" t="str">
        <f ca="1">IF(ISERROR($V148),"",OFFSET('Smelter Look-up'!$C$4,$V148-4,0)&amp;"")</f>
        <v>Mineracao Taboca S.A.</v>
      </c>
      <c r="S148" s="225" t="str">
        <f t="shared" ca="1" si="21"/>
        <v>BR</v>
      </c>
      <c r="T148" s="225" t="str">
        <f ca="1">IF(B148="","",IF(ISERROR(MATCH($J148,SorP!$B$1:$B$6230,0)),"",INDIRECT("'SorP'!$A$"&amp;MATCH($J148,SorP!$B$1:$B$6230,0))))</f>
        <v>BR-SP</v>
      </c>
      <c r="U148" s="241"/>
      <c r="V148" s="275">
        <f ca="1">IF(C148="",NA(),MATCH($B148&amp;$C148,'Smelter Look-up'!$J:$J,0))</f>
        <v>421</v>
      </c>
      <c r="W148" s="276"/>
      <c r="X148" s="276">
        <f t="shared" ca="1" si="22"/>
        <v>0</v>
      </c>
      <c r="Y148" s="276"/>
      <c r="Z148" s="276"/>
      <c r="AB148" s="278" t="str">
        <f t="shared" ca="1" si="23"/>
        <v>TinMineracao Taboca S.A.</v>
      </c>
    </row>
    <row r="149" spans="1:28" s="277" customFormat="1" ht="38.25">
      <c r="A149" s="216" t="s">
        <v>784</v>
      </c>
      <c r="B149" s="217" t="str">
        <f ca="1">IF(LEN(A149)=0,"",INDEX('Smelter Look-up'!$A:$A,MATCH($A149,'Smelter Look-up'!$E:$E,0)))</f>
        <v>Tin</v>
      </c>
      <c r="C149" s="221" t="str">
        <f ca="1">IF(LEN(A149)=0,"",INDEX('Smelter Look-up'!$C:$C,MATCH($A149,'Smelter Look-up'!$E:$E,0)))</f>
        <v>EM Vinto</v>
      </c>
      <c r="D149" s="283"/>
      <c r="E149" s="217" t="str">
        <f ca="1">IF(ISERROR($V149),"",OFFSET('Smelter Look-up'!$D$4,$V149-4,0)&amp;"")</f>
        <v>BOLIVIA (PLURINATIONAL STATE OF)</v>
      </c>
      <c r="F149" s="217" t="str">
        <f ca="1">IF(ISERROR($V149),"",OFFSET('Smelter Look-up'!$E$4,$V149-4,0))</f>
        <v>CID000438</v>
      </c>
      <c r="G149" s="217" t="str">
        <f ca="1">IF(C149=$X$4,"Enter smelter details",IF(ISERROR($V149),"",OFFSET('Smelter Look-up'!$F$4,$V149-4,0)))</f>
        <v>RMI</v>
      </c>
      <c r="H149" s="218">
        <f ca="1">IF(ISERROR($V149),"",OFFSET('Smelter Look-up'!$G$4,$V149-4,0))</f>
        <v>0</v>
      </c>
      <c r="I149" s="219" t="str">
        <f ca="1">IF(ISERROR($V149),"",OFFSET('Smelter Look-up'!$H$4,$V149-4,0))</f>
        <v>Oruro</v>
      </c>
      <c r="J149" s="219" t="str">
        <f ca="1">IF(ISERROR($V149),"",OFFSET('Smelter Look-up'!$I$4,$V149-4,0))</f>
        <v>Oruro</v>
      </c>
      <c r="K149" s="273"/>
      <c r="L149" s="273"/>
      <c r="M149" s="273"/>
      <c r="N149" s="273"/>
      <c r="O149" s="273"/>
      <c r="P149" s="220"/>
      <c r="Q149" s="274"/>
      <c r="R149" s="217" t="str">
        <f ca="1">IF(ISERROR($V149),"",OFFSET('Smelter Look-up'!$C$4,$V149-4,0)&amp;"")</f>
        <v>EM Vinto</v>
      </c>
      <c r="S149" s="225" t="str">
        <f t="shared" ca="1" si="21"/>
        <v>BO</v>
      </c>
      <c r="T149" s="225" t="str">
        <f ca="1">IF(B149="","",IF(ISERROR(MATCH($J149,SorP!$B$1:$B$6230,0)),"",INDIRECT("'SorP'!$A$"&amp;MATCH($J149,SorP!$B$1:$B$6230,0))))</f>
        <v>BO-O</v>
      </c>
      <c r="U149" s="241"/>
      <c r="V149" s="275">
        <f ca="1">IF(C149="",NA(),MATCH($B149&amp;$C149,'Smelter Look-up'!$J:$J,0))</f>
        <v>377</v>
      </c>
      <c r="W149" s="276"/>
      <c r="X149" s="276">
        <f t="shared" ca="1" si="22"/>
        <v>0</v>
      </c>
      <c r="Y149" s="276"/>
      <c r="Z149" s="276"/>
      <c r="AB149" s="278" t="str">
        <f t="shared" ca="1" si="23"/>
        <v>TinEM Vinto</v>
      </c>
    </row>
    <row r="150" spans="1:28" s="277" customFormat="1" ht="76.5">
      <c r="A150" s="216" t="s">
        <v>792</v>
      </c>
      <c r="B150" s="217" t="str">
        <f ca="1">IF(LEN(A150)=0,"",INDEX('Smelter Look-up'!$A:$A,MATCH($A150,'Smelter Look-up'!$E:$E,0)))</f>
        <v>Tin</v>
      </c>
      <c r="C150" s="221" t="str">
        <f ca="1">IF(LEN(A150)=0,"",INDEX('Smelter Look-up'!$C:$C,MATCH($A150,'Smelter Look-up'!$E:$E,0)))</f>
        <v>Malaysia Smelting Corporation (MSC)</v>
      </c>
      <c r="D150" s="283"/>
      <c r="E150" s="217" t="str">
        <f ca="1">IF(ISERROR($V150),"",OFFSET('Smelter Look-up'!$D$4,$V150-4,0)&amp;"")</f>
        <v>MALAYSIA</v>
      </c>
      <c r="F150" s="217" t="str">
        <f ca="1">IF(ISERROR($V150),"",OFFSET('Smelter Look-up'!$E$4,$V150-4,0))</f>
        <v>CID001105</v>
      </c>
      <c r="G150" s="217" t="str">
        <f ca="1">IF(C150=$X$4,"Enter smelter details",IF(ISERROR($V150),"",OFFSET('Smelter Look-up'!$F$4,$V150-4,0)))</f>
        <v>RMI</v>
      </c>
      <c r="H150" s="218">
        <f ca="1">IF(ISERROR($V150),"",OFFSET('Smelter Look-up'!$G$4,$V150-4,0))</f>
        <v>0</v>
      </c>
      <c r="I150" s="219" t="str">
        <f ca="1">IF(ISERROR($V150),"",OFFSET('Smelter Look-up'!$H$4,$V150-4,0))</f>
        <v>Butterworth</v>
      </c>
      <c r="J150" s="219" t="str">
        <f ca="1">IF(ISERROR($V150),"",OFFSET('Smelter Look-up'!$I$4,$V150-4,0))</f>
        <v>Pulau Pinang</v>
      </c>
      <c r="K150" s="273"/>
      <c r="L150" s="273"/>
      <c r="M150" s="273"/>
      <c r="N150" s="273"/>
      <c r="O150" s="273"/>
      <c r="P150" s="220"/>
      <c r="Q150" s="274"/>
      <c r="R150" s="217" t="str">
        <f ca="1">IF(ISERROR($V150),"",OFFSET('Smelter Look-up'!$C$4,$V150-4,0)&amp;"")</f>
        <v>Malaysia Smelting Corporation (MSC)</v>
      </c>
      <c r="S150" s="225" t="str">
        <f t="shared" ca="1" si="21"/>
        <v>MY</v>
      </c>
      <c r="T150" s="225" t="str">
        <f ca="1">IF(B150="","",IF(ISERROR(MATCH($J150,SorP!$B$1:$B$6230,0)),"",INDIRECT("'SorP'!$A$"&amp;MATCH($J150,SorP!$B$1:$B$6230,0))))</f>
        <v>MY-07</v>
      </c>
      <c r="U150" s="241"/>
      <c r="V150" s="275">
        <f ca="1">IF(C150="",NA(),MATCH($B150&amp;$C150,'Smelter Look-up'!$J:$J,0))</f>
        <v>414</v>
      </c>
      <c r="W150" s="276"/>
      <c r="X150" s="276">
        <f t="shared" ca="1" si="22"/>
        <v>0</v>
      </c>
      <c r="Y150" s="276"/>
      <c r="Z150" s="276"/>
      <c r="AB150" s="278" t="str">
        <f t="shared" ca="1" si="23"/>
        <v>TinMalaysia Smelting Corporation (MSC)</v>
      </c>
    </row>
    <row r="151" spans="1:28" s="277" customFormat="1" ht="25.5">
      <c r="A151" s="216" t="s">
        <v>806</v>
      </c>
      <c r="B151" s="217" t="str">
        <f ca="1">IF(LEN(A151)=0,"",INDEX('Smelter Look-up'!$A:$A,MATCH($A151,'Smelter Look-up'!$E:$E,0)))</f>
        <v>Tin</v>
      </c>
      <c r="C151" s="221" t="str">
        <f ca="1">IF(LEN(A151)=0,"",INDEX('Smelter Look-up'!$C:$C,MATCH($A151,'Smelter Look-up'!$E:$E,0)))</f>
        <v>Thaisarco</v>
      </c>
      <c r="D151" s="283"/>
      <c r="E151" s="217" t="str">
        <f ca="1">IF(ISERROR($V151),"",OFFSET('Smelter Look-up'!$D$4,$V151-4,0)&amp;"")</f>
        <v>THAILAND</v>
      </c>
      <c r="F151" s="217" t="str">
        <f ca="1">IF(ISERROR($V151),"",OFFSET('Smelter Look-up'!$E$4,$V151-4,0))</f>
        <v>CID001898</v>
      </c>
      <c r="G151" s="217" t="str">
        <f ca="1">IF(C151=$X$4,"Enter smelter details",IF(ISERROR($V151),"",OFFSET('Smelter Look-up'!$F$4,$V151-4,0)))</f>
        <v>RMI</v>
      </c>
      <c r="H151" s="218">
        <f ca="1">IF(ISERROR($V151),"",OFFSET('Smelter Look-up'!$G$4,$V151-4,0))</f>
        <v>0</v>
      </c>
      <c r="I151" s="219" t="str">
        <f ca="1">IF(ISERROR($V151),"",OFFSET('Smelter Look-up'!$H$4,$V151-4,0))</f>
        <v>Amphur Muang</v>
      </c>
      <c r="J151" s="219" t="str">
        <f ca="1">IF(ISERROR($V151),"",OFFSET('Smelter Look-up'!$I$4,$V151-4,0))</f>
        <v>Phuket</v>
      </c>
      <c r="K151" s="273"/>
      <c r="L151" s="273"/>
      <c r="M151" s="273"/>
      <c r="N151" s="273"/>
      <c r="O151" s="273"/>
      <c r="P151" s="220"/>
      <c r="Q151" s="274"/>
      <c r="R151" s="217" t="str">
        <f ca="1">IF(ISERROR($V151),"",OFFSET('Smelter Look-up'!$C$4,$V151-4,0)&amp;"")</f>
        <v>Thaisarco</v>
      </c>
      <c r="S151" s="225" t="str">
        <f t="shared" ca="1" si="21"/>
        <v>TH</v>
      </c>
      <c r="T151" s="225" t="str">
        <f ca="1">IF(B151="","",IF(ISERROR(MATCH($J151,SorP!$B$1:$B$6230,0)),"",INDIRECT("'SorP'!$A$"&amp;MATCH($J151,SorP!$B$1:$B$6230,0))))</f>
        <v>TH-83</v>
      </c>
      <c r="U151" s="241"/>
      <c r="V151" s="275">
        <f ca="1">IF(C151="",NA(),MATCH($B151&amp;$C151,'Smelter Look-up'!$J:$J,0))</f>
        <v>458</v>
      </c>
      <c r="W151" s="276"/>
      <c r="X151" s="276">
        <f t="shared" ca="1" si="22"/>
        <v>0</v>
      </c>
      <c r="Y151" s="276"/>
      <c r="Z151" s="276"/>
      <c r="AB151" s="278" t="str">
        <f t="shared" ca="1" si="23"/>
        <v>TinThaisarco</v>
      </c>
    </row>
    <row r="152" spans="1:28" s="277" customFormat="1" ht="51">
      <c r="A152" s="216" t="s">
        <v>824</v>
      </c>
      <c r="B152" s="217" t="str">
        <f ca="1">IF(LEN(A152)=0,"",INDEX('Smelter Look-up'!$A:$A,MATCH($A152,'Smelter Look-up'!$E:$E,0)))</f>
        <v>Tin</v>
      </c>
      <c r="C152" s="221" t="str">
        <f ca="1">IF(LEN(A152)=0,"",INDEX('Smelter Look-up'!$C:$C,MATCH($A152,'Smelter Look-up'!$E:$E,0)))</f>
        <v>PT Timah Tbk Kundur</v>
      </c>
      <c r="D152" s="283"/>
      <c r="E152" s="217" t="str">
        <f ca="1">IF(ISERROR($V152),"",OFFSET('Smelter Look-up'!$D$4,$V152-4,0)&amp;"")</f>
        <v>INDONESIA</v>
      </c>
      <c r="F152" s="217" t="str">
        <f ca="1">IF(ISERROR($V152),"",OFFSET('Smelter Look-up'!$E$4,$V152-4,0))</f>
        <v>CID001477</v>
      </c>
      <c r="G152" s="217" t="str">
        <f ca="1">IF(C152=$X$4,"Enter smelter details",IF(ISERROR($V152),"",OFFSET('Smelter Look-up'!$F$4,$V152-4,0)))</f>
        <v>RMI</v>
      </c>
      <c r="H152" s="218">
        <f ca="1">IF(ISERROR($V152),"",OFFSET('Smelter Look-up'!$G$4,$V152-4,0))</f>
        <v>0</v>
      </c>
      <c r="I152" s="219" t="str">
        <f ca="1">IF(ISERROR($V152),"",OFFSET('Smelter Look-up'!$H$4,$V152-4,0))</f>
        <v>Kundur</v>
      </c>
      <c r="J152" s="219" t="str">
        <f ca="1">IF(ISERROR($V152),"",OFFSET('Smelter Look-up'!$I$4,$V152-4,0))</f>
        <v>Riau</v>
      </c>
      <c r="K152" s="273"/>
      <c r="L152" s="273"/>
      <c r="M152" s="273"/>
      <c r="N152" s="273"/>
      <c r="O152" s="273"/>
      <c r="P152" s="220"/>
      <c r="Q152" s="274"/>
      <c r="R152" s="217" t="str">
        <f ca="1">IF(ISERROR($V152),"",OFFSET('Smelter Look-up'!$C$4,$V152-4,0)&amp;"")</f>
        <v>PT Timah Tbk Kundur</v>
      </c>
      <c r="S152" s="225" t="str">
        <f t="shared" ca="1" si="21"/>
        <v>ID</v>
      </c>
      <c r="T152" s="225" t="str">
        <f ca="1">IF(B152="","",IF(ISERROR(MATCH($J152,SorP!$B$1:$B$6230,0)),"",INDIRECT("'SorP'!$A$"&amp;MATCH($J152,SorP!$B$1:$B$6230,0))))</f>
        <v>ID-RI</v>
      </c>
      <c r="U152" s="241"/>
      <c r="V152" s="275">
        <f ca="1">IF(C152="",NA(),MATCH($B152&amp;$C152,'Smelter Look-up'!$J:$J,0))</f>
        <v>445</v>
      </c>
      <c r="W152" s="276"/>
      <c r="X152" s="276">
        <f t="shared" ca="1" si="22"/>
        <v>0</v>
      </c>
      <c r="Y152" s="276"/>
      <c r="Z152" s="276"/>
      <c r="AB152" s="278" t="str">
        <f t="shared" ca="1" si="23"/>
        <v>TinPT Timah Tbk Kundur</v>
      </c>
    </row>
    <row r="153" spans="1:28" s="277" customFormat="1" ht="51">
      <c r="A153" s="216" t="s">
        <v>802</v>
      </c>
      <c r="B153" s="217" t="str">
        <f ca="1">IF(LEN(A153)=0,"",INDEX('Smelter Look-up'!$A:$A,MATCH($A153,'Smelter Look-up'!$E:$E,0)))</f>
        <v>Tin</v>
      </c>
      <c r="C153" s="221" t="str">
        <f ca="1">IF(LEN(A153)=0,"",INDEX('Smelter Look-up'!$C:$C,MATCH($A153,'Smelter Look-up'!$E:$E,0)))</f>
        <v>PT Timah Tbk Mentok</v>
      </c>
      <c r="D153" s="283"/>
      <c r="E153" s="217" t="str">
        <f ca="1">IF(ISERROR($V153),"",OFFSET('Smelter Look-up'!$D$4,$V153-4,0)&amp;"")</f>
        <v>INDONESIA</v>
      </c>
      <c r="F153" s="217" t="str">
        <f ca="1">IF(ISERROR($V153),"",OFFSET('Smelter Look-up'!$E$4,$V153-4,0))</f>
        <v>CID001482</v>
      </c>
      <c r="G153" s="217" t="str">
        <f ca="1">IF(C153=$X$4,"Enter smelter details",IF(ISERROR($V153),"",OFFSET('Smelter Look-up'!$F$4,$V153-4,0)))</f>
        <v>RMI</v>
      </c>
      <c r="H153" s="218">
        <f ca="1">IF(ISERROR($V153),"",OFFSET('Smelter Look-up'!$G$4,$V153-4,0))</f>
        <v>0</v>
      </c>
      <c r="I153" s="219" t="str">
        <f ca="1">IF(ISERROR($V153),"",OFFSET('Smelter Look-up'!$H$4,$V153-4,0))</f>
        <v>Mentok</v>
      </c>
      <c r="J153" s="219" t="str">
        <f ca="1">IF(ISERROR($V153),"",OFFSET('Smelter Look-up'!$I$4,$V153-4,0))</f>
        <v>Kepulauan Bangka Belitung</v>
      </c>
      <c r="K153" s="273"/>
      <c r="L153" s="273"/>
      <c r="M153" s="273"/>
      <c r="N153" s="273"/>
      <c r="O153" s="273"/>
      <c r="P153" s="220"/>
      <c r="Q153" s="274"/>
      <c r="R153" s="217" t="str">
        <f ca="1">IF(ISERROR($V153),"",OFFSET('Smelter Look-up'!$C$4,$V153-4,0)&amp;"")</f>
        <v>PT Timah Tbk Mentok</v>
      </c>
      <c r="S153" s="225" t="str">
        <f t="shared" ca="1" si="21"/>
        <v>ID</v>
      </c>
      <c r="T153" s="225" t="str">
        <f ca="1">IF(B153="","",IF(ISERROR(MATCH($J153,SorP!$B$1:$B$6230,0)),"",INDIRECT("'SorP'!$A$"&amp;MATCH($J153,SorP!$B$1:$B$6230,0))))</f>
        <v>ID-BB</v>
      </c>
      <c r="U153" s="241"/>
      <c r="V153" s="275">
        <f ca="1">IF(C153="",NA(),MATCH($B153&amp;$C153,'Smelter Look-up'!$J:$J,0))</f>
        <v>446</v>
      </c>
      <c r="W153" s="276"/>
      <c r="X153" s="276">
        <f t="shared" ca="1" si="22"/>
        <v>0</v>
      </c>
      <c r="Y153" s="276"/>
      <c r="Z153" s="276"/>
      <c r="AB153" s="278" t="str">
        <f t="shared" ca="1" si="23"/>
        <v>TinPT Timah Tbk Mentok</v>
      </c>
    </row>
    <row r="154" spans="1:28" s="277" customFormat="1" ht="51">
      <c r="A154" s="216" t="s">
        <v>1856</v>
      </c>
      <c r="B154" s="217" t="str">
        <f ca="1">IF(LEN(A154)=0,"",INDEX('Smelter Look-up'!$A:$A,MATCH($A154,'Smelter Look-up'!$E:$E,0)))</f>
        <v>Tin</v>
      </c>
      <c r="C154" s="221" t="str">
        <f ca="1">IF(LEN(A154)=0,"",INDEX('Smelter Look-up'!$C:$C,MATCH($A154,'Smelter Look-up'!$E:$E,0)))</f>
        <v>Metallo Belgium N.V.</v>
      </c>
      <c r="D154" s="283"/>
      <c r="E154" s="217" t="str">
        <f ca="1">IF(ISERROR($V154),"",OFFSET('Smelter Look-up'!$D$4,$V154-4,0)&amp;"")</f>
        <v>BELGIUM</v>
      </c>
      <c r="F154" s="217" t="str">
        <f ca="1">IF(ISERROR($V154),"",OFFSET('Smelter Look-up'!$E$4,$V154-4,0))</f>
        <v>CID002773</v>
      </c>
      <c r="G154" s="217" t="str">
        <f ca="1">IF(C154=$X$4,"Enter smelter details",IF(ISERROR($V154),"",OFFSET('Smelter Look-up'!$F$4,$V154-4,0)))</f>
        <v>RMI</v>
      </c>
      <c r="H154" s="218">
        <f ca="1">IF(ISERROR($V154),"",OFFSET('Smelter Look-up'!$G$4,$V154-4,0))</f>
        <v>0</v>
      </c>
      <c r="I154" s="219" t="str">
        <f ca="1">IF(ISERROR($V154),"",OFFSET('Smelter Look-up'!$H$4,$V154-4,0))</f>
        <v>Beerse</v>
      </c>
      <c r="J154" s="219" t="str">
        <f ca="1">IF(ISERROR($V154),"",OFFSET('Smelter Look-up'!$I$4,$V154-4,0))</f>
        <v>Antwerpen</v>
      </c>
      <c r="K154" s="273"/>
      <c r="L154" s="273"/>
      <c r="M154" s="273"/>
      <c r="N154" s="273"/>
      <c r="O154" s="273"/>
      <c r="P154" s="220"/>
      <c r="Q154" s="274"/>
      <c r="R154" s="217" t="str">
        <f ca="1">IF(ISERROR($V154),"",OFFSET('Smelter Look-up'!$C$4,$V154-4,0)&amp;"")</f>
        <v>Metallo Belgium N.V.</v>
      </c>
      <c r="S154" s="225" t="str">
        <f t="shared" ca="1" si="21"/>
        <v>BE</v>
      </c>
      <c r="T154" s="225" t="str">
        <f ca="1">IF(B154="","",IF(ISERROR(MATCH($J154,SorP!$B$1:$B$6230,0)),"",INDIRECT("'SorP'!$A$"&amp;MATCH($J154,SorP!$B$1:$B$6230,0))))</f>
        <v>BE-VAN</v>
      </c>
      <c r="U154" s="241"/>
      <c r="V154" s="275">
        <f ca="1">IF(C154="",NA(),MATCH($B154&amp;$C154,'Smelter Look-up'!$J:$J,0))</f>
        <v>419</v>
      </c>
      <c r="W154" s="276"/>
      <c r="X154" s="276">
        <f t="shared" ca="1" si="22"/>
        <v>0</v>
      </c>
      <c r="Y154" s="276"/>
      <c r="Z154" s="276"/>
      <c r="AB154" s="278" t="str">
        <f t="shared" ca="1" si="23"/>
        <v>TinMetallo Belgium N.V.</v>
      </c>
    </row>
    <row r="155" spans="1:28" s="277" customFormat="1" ht="51">
      <c r="A155" s="216" t="s">
        <v>15534</v>
      </c>
      <c r="B155" s="217" t="s">
        <v>1154</v>
      </c>
      <c r="C155" s="348" t="s">
        <v>15582</v>
      </c>
      <c r="D155" s="283"/>
      <c r="E155" s="217" t="s">
        <v>1128</v>
      </c>
      <c r="F155" s="217" t="s">
        <v>15534</v>
      </c>
      <c r="G155" s="217" t="s">
        <v>13577</v>
      </c>
      <c r="H155" s="218" t="str">
        <f ca="1">IF(ISERROR($V155),"",OFFSET('Smelter Look-up'!$G$4,$V155-4,0))</f>
        <v/>
      </c>
      <c r="I155" s="350" t="s">
        <v>15527</v>
      </c>
      <c r="J155" s="350" t="s">
        <v>13183</v>
      </c>
      <c r="K155" s="273"/>
      <c r="L155" s="273"/>
      <c r="M155" s="273"/>
      <c r="N155" s="273"/>
      <c r="O155" s="273"/>
      <c r="P155" s="220"/>
      <c r="Q155" s="274"/>
      <c r="R155" s="217" t="str">
        <f ca="1">IF(ISERROR($V155),"",OFFSET('Smelter Look-up'!$C$4,$V155-4,0)&amp;"")</f>
        <v/>
      </c>
      <c r="S155" s="225" t="str">
        <f t="shared" ca="1" si="21"/>
        <v>ID</v>
      </c>
      <c r="T155" s="225" t="str">
        <f ca="1">IF(B155="","",IF(ISERROR(MATCH($J155,SorP!$B$1:$B$6230,0)),"",INDIRECT("'SorP'!$A$"&amp;MATCH($J155,SorP!$B$1:$B$6230,0))))</f>
        <v>ID-BB</v>
      </c>
      <c r="U155" s="241"/>
      <c r="V155" s="275" t="e">
        <f>IF(C155="",NA(),MATCH($B155&amp;$C155,'Smelter Look-up'!$J:$J,0))</f>
        <v>#N/A</v>
      </c>
      <c r="W155" s="276"/>
      <c r="X155" s="276">
        <f t="shared" si="22"/>
        <v>0</v>
      </c>
      <c r="Y155" s="276"/>
      <c r="Z155" s="276"/>
      <c r="AB155" s="278" t="str">
        <f t="shared" si="23"/>
        <v>TinPT Tinindo Inter Nusa</v>
      </c>
    </row>
    <row r="156" spans="1:28" s="277" customFormat="1" ht="38.25">
      <c r="A156" s="216" t="s">
        <v>15535</v>
      </c>
      <c r="B156" s="217" t="s">
        <v>1154</v>
      </c>
      <c r="C156" s="348" t="s">
        <v>15583</v>
      </c>
      <c r="D156" s="283"/>
      <c r="E156" s="217" t="s">
        <v>1128</v>
      </c>
      <c r="F156" s="217" t="s">
        <v>15535</v>
      </c>
      <c r="G156" s="217" t="s">
        <v>13577</v>
      </c>
      <c r="H156" s="218" t="str">
        <f ca="1">IF(ISERROR($V156),"",OFFSET('Smelter Look-up'!$G$4,$V156-4,0))</f>
        <v/>
      </c>
      <c r="I156" s="350" t="s">
        <v>15527</v>
      </c>
      <c r="J156" s="350" t="s">
        <v>13183</v>
      </c>
      <c r="K156" s="273"/>
      <c r="L156" s="273"/>
      <c r="M156" s="273"/>
      <c r="N156" s="273"/>
      <c r="O156" s="273"/>
      <c r="P156" s="220"/>
      <c r="Q156" s="274"/>
      <c r="R156" s="217" t="str">
        <f ca="1">IF(ISERROR($V156),"",OFFSET('Smelter Look-up'!$C$4,$V156-4,0)&amp;"")</f>
        <v/>
      </c>
      <c r="S156" s="225" t="str">
        <f t="shared" ca="1" si="21"/>
        <v>ID</v>
      </c>
      <c r="T156" s="225" t="str">
        <f ca="1">IF(B156="","",IF(ISERROR(MATCH($J156,SorP!$B$1:$B$6230,0)),"",INDIRECT("'SorP'!$A$"&amp;MATCH($J156,SorP!$B$1:$B$6230,0))))</f>
        <v>ID-BB</v>
      </c>
      <c r="U156" s="241"/>
      <c r="V156" s="275" t="e">
        <f>IF(C156="",NA(),MATCH($B156&amp;$C156,'Smelter Look-up'!$J:$J,0))</f>
        <v>#N/A</v>
      </c>
      <c r="W156" s="276"/>
      <c r="X156" s="276">
        <f t="shared" si="22"/>
        <v>0</v>
      </c>
      <c r="Y156" s="276"/>
      <c r="Z156" s="276"/>
      <c r="AB156" s="278" t="str">
        <f t="shared" si="23"/>
        <v>TinPT Rajehan Ariq</v>
      </c>
    </row>
    <row r="157" spans="1:28" s="277" customFormat="1" ht="102">
      <c r="A157" s="216" t="s">
        <v>2678</v>
      </c>
      <c r="B157" s="217" t="str">
        <f ca="1">IF(LEN(A157)=0,"",INDEX('Smelter Look-up'!$A:$A,MATCH($A157,'Smelter Look-up'!$E:$E,0)))</f>
        <v>Tin</v>
      </c>
      <c r="C157" s="221" t="str">
        <f ca="1">IF(LEN(A157)=0,"",INDEX('Smelter Look-up'!$C:$C,MATCH($A157,'Smelter Look-up'!$E:$E,0)))</f>
        <v>Guangdong Hanhe Non-Ferrous Metal Co., Ltd.</v>
      </c>
      <c r="D157" s="283"/>
      <c r="E157" s="217" t="str">
        <f ca="1">IF(ISERROR($V157),"",OFFSET('Smelter Look-up'!$D$4,$V157-4,0)&amp;"")</f>
        <v>CHINA</v>
      </c>
      <c r="F157" s="217" t="str">
        <f ca="1">IF(ISERROR($V157),"",OFFSET('Smelter Look-up'!$E$4,$V157-4,0))</f>
        <v>CID003116</v>
      </c>
      <c r="G157" s="217" t="str">
        <f ca="1">IF(C157=$X$4,"Enter smelter details",IF(ISERROR($V157),"",OFFSET('Smelter Look-up'!$F$4,$V157-4,0)))</f>
        <v>RMI</v>
      </c>
      <c r="H157" s="218">
        <f ca="1">IF(ISERROR($V157),"",OFFSET('Smelter Look-up'!$G$4,$V157-4,0))</f>
        <v>0</v>
      </c>
      <c r="I157" s="219" t="str">
        <f ca="1">IF(ISERROR($V157),"",OFFSET('Smelter Look-up'!$H$4,$V157-4,0))</f>
        <v>Chaozhou</v>
      </c>
      <c r="J157" s="219" t="str">
        <f ca="1">IF(ISERROR($V157),"",OFFSET('Smelter Look-up'!$I$4,$V157-4,0))</f>
        <v>Guangdong Sheng</v>
      </c>
      <c r="K157" s="273"/>
      <c r="L157" s="273"/>
      <c r="M157" s="273"/>
      <c r="N157" s="273"/>
      <c r="O157" s="273"/>
      <c r="P157" s="220"/>
      <c r="Q157" s="274"/>
      <c r="R157" s="217" t="str">
        <f ca="1">IF(ISERROR($V157),"",OFFSET('Smelter Look-up'!$C$4,$V157-4,0)&amp;"")</f>
        <v>Guangdong Hanhe Non-Ferrous Metal Co., Ltd.</v>
      </c>
      <c r="S157" s="225" t="str">
        <f t="shared" ca="1" si="21"/>
        <v>CN</v>
      </c>
      <c r="T157" s="225" t="str">
        <f ca="1">IF(B157="","",IF(ISERROR(MATCH($J157,SorP!$B$1:$B$6230,0)),"",INDIRECT("'SorP'!$A$"&amp;MATCH($J157,SorP!$B$1:$B$6230,0))))</f>
        <v>CN-GD</v>
      </c>
      <c r="U157" s="241"/>
      <c r="V157" s="275">
        <f ca="1">IF(C157="",NA(),MATCH($B157&amp;$C157,'Smelter Look-up'!$J:$J,0))</f>
        <v>395</v>
      </c>
      <c r="W157" s="276"/>
      <c r="X157" s="276">
        <f t="shared" ca="1" si="22"/>
        <v>0</v>
      </c>
      <c r="Y157" s="276"/>
      <c r="Z157" s="276"/>
      <c r="AB157" s="278" t="str">
        <f t="shared" ca="1" si="23"/>
        <v>TinGuangdong Hanhe Non-Ferrous Metal Co., Ltd.</v>
      </c>
    </row>
    <row r="158" spans="1:28" s="277" customFormat="1" ht="51">
      <c r="A158" s="216" t="s">
        <v>15536</v>
      </c>
      <c r="B158" s="217" t="s">
        <v>1154</v>
      </c>
      <c r="C158" s="348" t="s">
        <v>15584</v>
      </c>
      <c r="D158" s="283"/>
      <c r="E158" s="217" t="s">
        <v>1128</v>
      </c>
      <c r="F158" s="217" t="s">
        <v>15536</v>
      </c>
      <c r="G158" s="217" t="s">
        <v>13577</v>
      </c>
      <c r="H158" s="218" t="str">
        <f ca="1">IF(ISERROR($V158),"",OFFSET('Smelter Look-up'!$G$4,$V158-4,0))</f>
        <v/>
      </c>
      <c r="I158" s="350" t="s">
        <v>15527</v>
      </c>
      <c r="J158" s="350" t="s">
        <v>13183</v>
      </c>
      <c r="K158" s="273"/>
      <c r="L158" s="273"/>
      <c r="M158" s="273"/>
      <c r="N158" s="273"/>
      <c r="O158" s="273"/>
      <c r="P158" s="220"/>
      <c r="Q158" s="274"/>
      <c r="R158" s="217" t="str">
        <f ca="1">IF(ISERROR($V158),"",OFFSET('Smelter Look-up'!$C$4,$V158-4,0)&amp;"")</f>
        <v/>
      </c>
      <c r="S158" s="225" t="str">
        <f t="shared" ca="1" si="21"/>
        <v>ID</v>
      </c>
      <c r="T158" s="225" t="str">
        <f ca="1">IF(B158="","",IF(ISERROR(MATCH($J158,SorP!$B$1:$B$6230,0)),"",INDIRECT("'SorP'!$A$"&amp;MATCH($J158,SorP!$B$1:$B$6230,0))))</f>
        <v>ID-BB</v>
      </c>
      <c r="U158" s="241"/>
      <c r="V158" s="275" t="e">
        <f>IF(C158="",NA(),MATCH($B158&amp;$C158,'Smelter Look-up'!$J:$J,0))</f>
        <v>#N/A</v>
      </c>
      <c r="W158" s="276"/>
      <c r="X158" s="276">
        <f t="shared" si="22"/>
        <v>0</v>
      </c>
      <c r="Y158" s="276"/>
      <c r="Z158" s="276"/>
      <c r="AB158" s="278" t="str">
        <f t="shared" si="23"/>
        <v>TinPT Stanindo Inti Perkasa</v>
      </c>
    </row>
    <row r="159" spans="1:28" s="277" customFormat="1" ht="102">
      <c r="A159" s="216" t="s">
        <v>808</v>
      </c>
      <c r="B159" s="217" t="str">
        <f ca="1">IF(LEN(A159)=0,"",INDEX('Smelter Look-up'!$A:$A,MATCH($A159,'Smelter Look-up'!$E:$E,0)))</f>
        <v>Tin</v>
      </c>
      <c r="C159" s="221" t="str">
        <f ca="1">IF(LEN(A159)=0,"",INDEX('Smelter Look-up'!$C:$C,MATCH($A159,'Smelter Look-up'!$E:$E,0)))</f>
        <v>Yunnan Chengfeng Non-ferrous Metals Co., Ltd.</v>
      </c>
      <c r="D159" s="283"/>
      <c r="E159" s="217" t="str">
        <f ca="1">IF(ISERROR($V159),"",OFFSET('Smelter Look-up'!$D$4,$V159-4,0)&amp;"")</f>
        <v>CHINA</v>
      </c>
      <c r="F159" s="217" t="str">
        <f ca="1">IF(ISERROR($V159),"",OFFSET('Smelter Look-up'!$E$4,$V159-4,0))</f>
        <v>CID002158</v>
      </c>
      <c r="G159" s="217" t="str">
        <f ca="1">IF(C159=$X$4,"Enter smelter details",IF(ISERROR($V159),"",OFFSET('Smelter Look-up'!$F$4,$V159-4,0)))</f>
        <v>RMI</v>
      </c>
      <c r="H159" s="218">
        <f ca="1">IF(ISERROR($V159),"",OFFSET('Smelter Look-up'!$G$4,$V159-4,0))</f>
        <v>0</v>
      </c>
      <c r="I159" s="219" t="str">
        <f ca="1">IF(ISERROR($V159),"",OFFSET('Smelter Look-up'!$H$4,$V159-4,0))</f>
        <v>Gejiu</v>
      </c>
      <c r="J159" s="219" t="str">
        <f ca="1">IF(ISERROR($V159),"",OFFSET('Smelter Look-up'!$I$4,$V159-4,0))</f>
        <v>Yunnan Sheng</v>
      </c>
      <c r="K159" s="273"/>
      <c r="L159" s="273"/>
      <c r="M159" s="273"/>
      <c r="N159" s="273"/>
      <c r="O159" s="273"/>
      <c r="P159" s="220"/>
      <c r="Q159" s="274"/>
      <c r="R159" s="217" t="str">
        <f ca="1">IF(ISERROR($V159),"",OFFSET('Smelter Look-up'!$C$4,$V159-4,0)&amp;"")</f>
        <v>Yunnan Chengfeng Non-ferrous Metals Co., Ltd.</v>
      </c>
      <c r="S159" s="225" t="str">
        <f t="shared" ca="1" si="21"/>
        <v>CN</v>
      </c>
      <c r="T159" s="225" t="str">
        <f ca="1">IF(B159="","",IF(ISERROR(MATCH($J159,SorP!$B$1:$B$6230,0)),"",INDIRECT("'SorP'!$A$"&amp;MATCH($J159,SorP!$B$1:$B$6230,0))))</f>
        <v>CN-YN</v>
      </c>
      <c r="U159" s="241"/>
      <c r="V159" s="275">
        <f ca="1">IF(C159="",NA(),MATCH($B159&amp;$C159,'Smelter Look-up'!$J:$J,0))</f>
        <v>473</v>
      </c>
      <c r="W159" s="276"/>
      <c r="X159" s="276">
        <f t="shared" ca="1" si="22"/>
        <v>0</v>
      </c>
      <c r="Y159" s="276"/>
      <c r="Z159" s="276"/>
      <c r="AB159" s="278" t="str">
        <f t="shared" ca="1" si="23"/>
        <v>TinYunnan Chengfeng Non-ferrous Metals Co., Ltd.</v>
      </c>
    </row>
    <row r="160" spans="1:28" s="277" customFormat="1" ht="102">
      <c r="A160" s="216" t="s">
        <v>808</v>
      </c>
      <c r="B160" s="217" t="str">
        <f ca="1">IF(LEN(A160)=0,"",INDEX('Smelter Look-up'!$A:$A,MATCH($A160,'Smelter Look-up'!$E:$E,0)))</f>
        <v>Tin</v>
      </c>
      <c r="C160" s="221" t="str">
        <f ca="1">IF(LEN(A160)=0,"",INDEX('Smelter Look-up'!$C:$C,MATCH($A160,'Smelter Look-up'!$E:$E,0)))</f>
        <v>Yunnan Chengfeng Non-ferrous Metals Co., Ltd.</v>
      </c>
      <c r="D160" s="283"/>
      <c r="E160" s="217" t="str">
        <f ca="1">IF(ISERROR($V160),"",OFFSET('Smelter Look-up'!$D$4,$V160-4,0)&amp;"")</f>
        <v>CHINA</v>
      </c>
      <c r="F160" s="217" t="str">
        <f ca="1">IF(ISERROR($V160),"",OFFSET('Smelter Look-up'!$E$4,$V160-4,0))</f>
        <v>CID002158</v>
      </c>
      <c r="G160" s="217" t="str">
        <f ca="1">IF(C160=$X$4,"Enter smelter details",IF(ISERROR($V160),"",OFFSET('Smelter Look-up'!$F$4,$V160-4,0)))</f>
        <v>RMI</v>
      </c>
      <c r="H160" s="218">
        <f ca="1">IF(ISERROR($V160),"",OFFSET('Smelter Look-up'!$G$4,$V160-4,0))</f>
        <v>0</v>
      </c>
      <c r="I160" s="219" t="str">
        <f ca="1">IF(ISERROR($V160),"",OFFSET('Smelter Look-up'!$H$4,$V160-4,0))</f>
        <v>Gejiu</v>
      </c>
      <c r="J160" s="219" t="str">
        <f ca="1">IF(ISERROR($V160),"",OFFSET('Smelter Look-up'!$I$4,$V160-4,0))</f>
        <v>Yunnan Sheng</v>
      </c>
      <c r="K160" s="273"/>
      <c r="L160" s="273"/>
      <c r="M160" s="273"/>
      <c r="N160" s="273"/>
      <c r="O160" s="273"/>
      <c r="P160" s="220"/>
      <c r="Q160" s="274"/>
      <c r="R160" s="217" t="str">
        <f ca="1">IF(ISERROR($V160),"",OFFSET('Smelter Look-up'!$C$4,$V160-4,0)&amp;"")</f>
        <v>Yunnan Chengfeng Non-ferrous Metals Co., Ltd.</v>
      </c>
      <c r="S160" s="225" t="str">
        <f t="shared" ca="1" si="21"/>
        <v>CN</v>
      </c>
      <c r="T160" s="225" t="str">
        <f ca="1">IF(B160="","",IF(ISERROR(MATCH($J160,SorP!$B$1:$B$6230,0)),"",INDIRECT("'SorP'!$A$"&amp;MATCH($J160,SorP!$B$1:$B$6230,0))))</f>
        <v>CN-YN</v>
      </c>
      <c r="U160" s="241"/>
      <c r="V160" s="275">
        <f ca="1">IF(C160="",NA(),MATCH($B160&amp;$C160,'Smelter Look-up'!$J:$J,0))</f>
        <v>473</v>
      </c>
      <c r="W160" s="276"/>
      <c r="X160" s="276">
        <f t="shared" ca="1" si="22"/>
        <v>0</v>
      </c>
      <c r="Y160" s="276"/>
      <c r="Z160" s="276"/>
      <c r="AB160" s="278" t="str">
        <f t="shared" ca="1" si="23"/>
        <v>TinYunnan Chengfeng Non-ferrous Metals Co., Ltd.</v>
      </c>
    </row>
    <row r="161" spans="1:28" s="277" customFormat="1" ht="102">
      <c r="A161" s="216" t="s">
        <v>808</v>
      </c>
      <c r="B161" s="217" t="str">
        <f ca="1">IF(LEN(A161)=0,"",INDEX('Smelter Look-up'!$A:$A,MATCH($A161,'Smelter Look-up'!$E:$E,0)))</f>
        <v>Tin</v>
      </c>
      <c r="C161" s="221" t="str">
        <f ca="1">IF(LEN(A161)=0,"",INDEX('Smelter Look-up'!$C:$C,MATCH($A161,'Smelter Look-up'!$E:$E,0)))</f>
        <v>Yunnan Chengfeng Non-ferrous Metals Co., Ltd.</v>
      </c>
      <c r="D161" s="283"/>
      <c r="E161" s="217" t="str">
        <f ca="1">IF(ISERROR($V161),"",OFFSET('Smelter Look-up'!$D$4,$V161-4,0)&amp;"")</f>
        <v>CHINA</v>
      </c>
      <c r="F161" s="217" t="str">
        <f ca="1">IF(ISERROR($V161),"",OFFSET('Smelter Look-up'!$E$4,$V161-4,0))</f>
        <v>CID002158</v>
      </c>
      <c r="G161" s="217" t="str">
        <f ca="1">IF(C161=$X$4,"Enter smelter details",IF(ISERROR($V161),"",OFFSET('Smelter Look-up'!$F$4,$V161-4,0)))</f>
        <v>RMI</v>
      </c>
      <c r="H161" s="218">
        <f ca="1">IF(ISERROR($V161),"",OFFSET('Smelter Look-up'!$G$4,$V161-4,0))</f>
        <v>0</v>
      </c>
      <c r="I161" s="219" t="str">
        <f ca="1">IF(ISERROR($V161),"",OFFSET('Smelter Look-up'!$H$4,$V161-4,0))</f>
        <v>Gejiu</v>
      </c>
      <c r="J161" s="219" t="str">
        <f ca="1">IF(ISERROR($V161),"",OFFSET('Smelter Look-up'!$I$4,$V161-4,0))</f>
        <v>Yunnan Sheng</v>
      </c>
      <c r="K161" s="273"/>
      <c r="L161" s="273"/>
      <c r="M161" s="273"/>
      <c r="N161" s="273"/>
      <c r="O161" s="273"/>
      <c r="P161" s="220"/>
      <c r="Q161" s="274"/>
      <c r="R161" s="217" t="str">
        <f ca="1">IF(ISERROR($V161),"",OFFSET('Smelter Look-up'!$C$4,$V161-4,0)&amp;"")</f>
        <v>Yunnan Chengfeng Non-ferrous Metals Co., Ltd.</v>
      </c>
      <c r="S161" s="225" t="str">
        <f t="shared" ca="1" si="21"/>
        <v>CN</v>
      </c>
      <c r="T161" s="225" t="str">
        <f ca="1">IF(B161="","",IF(ISERROR(MATCH($J161,SorP!$B$1:$B$6230,0)),"",INDIRECT("'SorP'!$A$"&amp;MATCH($J161,SorP!$B$1:$B$6230,0))))</f>
        <v>CN-YN</v>
      </c>
      <c r="U161" s="241"/>
      <c r="V161" s="275">
        <f ca="1">IF(C161="",NA(),MATCH($B161&amp;$C161,'Smelter Look-up'!$J:$J,0))</f>
        <v>473</v>
      </c>
      <c r="W161" s="276"/>
      <c r="X161" s="276">
        <f t="shared" ca="1" si="22"/>
        <v>0</v>
      </c>
      <c r="Y161" s="276"/>
      <c r="Z161" s="276"/>
      <c r="AB161" s="278" t="str">
        <f t="shared" ca="1" si="23"/>
        <v>TinYunnan Chengfeng Non-ferrous Metals Co., Ltd.</v>
      </c>
    </row>
    <row r="162" spans="1:28" s="277" customFormat="1" ht="102">
      <c r="A162" s="216" t="s">
        <v>1840</v>
      </c>
      <c r="B162" s="217" t="str">
        <f ca="1">IF(LEN(A162)=0,"",INDEX('Smelter Look-up'!$A:$A,MATCH($A162,'Smelter Look-up'!$E:$E,0)))</f>
        <v>Tin</v>
      </c>
      <c r="C162" s="221" t="str">
        <f ca="1">IF(LEN(A162)=0,"",INDEX('Smelter Look-up'!$C:$C,MATCH($A162,'Smelter Look-up'!$E:$E,0)))</f>
        <v>Gejiu Yunxin Nonferrous Electrolysis Co., Ltd.</v>
      </c>
      <c r="D162" s="283"/>
      <c r="E162" s="217" t="str">
        <f ca="1">IF(ISERROR($V162),"",OFFSET('Smelter Look-up'!$D$4,$V162-4,0)&amp;"")</f>
        <v>CHINA</v>
      </c>
      <c r="F162" s="217" t="str">
        <f ca="1">IF(ISERROR($V162),"",OFFSET('Smelter Look-up'!$E$4,$V162-4,0))</f>
        <v>CID001908</v>
      </c>
      <c r="G162" s="217" t="str">
        <f ca="1">IF(C162=$X$4,"Enter smelter details",IF(ISERROR($V162),"",OFFSET('Smelter Look-up'!$F$4,$V162-4,0)))</f>
        <v>RMI</v>
      </c>
      <c r="H162" s="218">
        <f ca="1">IF(ISERROR($V162),"",OFFSET('Smelter Look-up'!$G$4,$V162-4,0))</f>
        <v>0</v>
      </c>
      <c r="I162" s="219" t="str">
        <f ca="1">IF(ISERROR($V162),"",OFFSET('Smelter Look-up'!$H$4,$V162-4,0))</f>
        <v>Gejiu</v>
      </c>
      <c r="J162" s="219" t="str">
        <f ca="1">IF(ISERROR($V162),"",OFFSET('Smelter Look-up'!$I$4,$V162-4,0))</f>
        <v>Yunnan Sheng</v>
      </c>
      <c r="K162" s="273"/>
      <c r="L162" s="273"/>
      <c r="M162" s="273"/>
      <c r="N162" s="273"/>
      <c r="O162" s="273"/>
      <c r="P162" s="220"/>
      <c r="Q162" s="274"/>
      <c r="R162" s="217" t="str">
        <f ca="1">IF(ISERROR($V162),"",OFFSET('Smelter Look-up'!$C$4,$V162-4,0)&amp;"")</f>
        <v>Gejiu Yunxin Nonferrous Electrolysis Co., Ltd.</v>
      </c>
      <c r="S162" s="225" t="str">
        <f t="shared" ca="1" si="21"/>
        <v>CN</v>
      </c>
      <c r="T162" s="225" t="str">
        <f ca="1">IF(B162="","",IF(ISERROR(MATCH($J162,SorP!$B$1:$B$6230,0)),"",INDIRECT("'SorP'!$A$"&amp;MATCH($J162,SorP!$B$1:$B$6230,0))))</f>
        <v>CN-YN</v>
      </c>
      <c r="U162" s="241"/>
      <c r="V162" s="275">
        <f ca="1">IF(C162="",NA(),MATCH($B162&amp;$C162,'Smelter Look-up'!$J:$J,0))</f>
        <v>390</v>
      </c>
      <c r="W162" s="276"/>
      <c r="X162" s="276">
        <f t="shared" ca="1" si="22"/>
        <v>0</v>
      </c>
      <c r="Y162" s="276"/>
      <c r="Z162" s="276"/>
      <c r="AB162" s="278" t="str">
        <f t="shared" ca="1" si="23"/>
        <v>TinGejiu Yunxin Nonferrous Electrolysis Co., Ltd.</v>
      </c>
    </row>
    <row r="163" spans="1:28" s="277" customFormat="1" ht="63.75">
      <c r="A163" s="216" t="s">
        <v>15537</v>
      </c>
      <c r="B163" s="217" t="s">
        <v>1154</v>
      </c>
      <c r="C163" s="348" t="s">
        <v>15538</v>
      </c>
      <c r="D163" s="283"/>
      <c r="E163" s="217" t="s">
        <v>1128</v>
      </c>
      <c r="F163" s="217" t="s">
        <v>15537</v>
      </c>
      <c r="G163" s="217" t="s">
        <v>13577</v>
      </c>
      <c r="H163" s="218" t="str">
        <f ca="1">IF(ISERROR($V163),"",OFFSET('Smelter Look-up'!$G$4,$V163-4,0))</f>
        <v/>
      </c>
      <c r="I163" s="350" t="s">
        <v>15539</v>
      </c>
      <c r="J163" s="350" t="s">
        <v>13183</v>
      </c>
      <c r="K163" s="273"/>
      <c r="L163" s="273"/>
      <c r="M163" s="273"/>
      <c r="N163" s="273"/>
      <c r="O163" s="273"/>
      <c r="P163" s="220"/>
      <c r="Q163" s="274"/>
      <c r="R163" s="217" t="str">
        <f ca="1">IF(ISERROR($V163),"",OFFSET('Smelter Look-up'!$C$4,$V163-4,0)&amp;"")</f>
        <v/>
      </c>
      <c r="S163" s="225" t="str">
        <f t="shared" ca="1" si="21"/>
        <v>ID</v>
      </c>
      <c r="T163" s="225" t="str">
        <f ca="1">IF(B163="","",IF(ISERROR(MATCH($J163,SorP!$B$1:$B$6230,0)),"",INDIRECT("'SorP'!$A$"&amp;MATCH($J163,SorP!$B$1:$B$6230,0))))</f>
        <v>ID-BB</v>
      </c>
      <c r="U163" s="241"/>
      <c r="V163" s="275" t="e">
        <f>IF(C163="",NA(),MATCH($B163&amp;$C163,'Smelter Look-up'!$J:$J,0))</f>
        <v>#N/A</v>
      </c>
      <c r="W163" s="276"/>
      <c r="X163" s="276">
        <f t="shared" si="22"/>
        <v>0</v>
      </c>
      <c r="Y163" s="276"/>
      <c r="Z163" s="276"/>
      <c r="AB163" s="278" t="str">
        <f t="shared" si="23"/>
        <v>TinPT Aries Kencana Sejahtera</v>
      </c>
    </row>
    <row r="164" spans="1:28" s="277" customFormat="1" ht="25.5">
      <c r="A164" s="216" t="s">
        <v>786</v>
      </c>
      <c r="B164" s="217" t="str">
        <f ca="1">IF(LEN(A164)=0,"",INDEX('Smelter Look-up'!$A:$A,MATCH($A164,'Smelter Look-up'!$E:$E,0)))</f>
        <v>Tin</v>
      </c>
      <c r="C164" s="221" t="str">
        <f ca="1">IF(LEN(A164)=0,"",INDEX('Smelter Look-up'!$C:$C,MATCH($A164,'Smelter Look-up'!$E:$E,0)))</f>
        <v>Fenix Metals</v>
      </c>
      <c r="D164" s="283"/>
      <c r="E164" s="217" t="str">
        <f ca="1">IF(ISERROR($V164),"",OFFSET('Smelter Look-up'!$D$4,$V164-4,0)&amp;"")</f>
        <v>POLAND</v>
      </c>
      <c r="F164" s="217" t="str">
        <f ca="1">IF(ISERROR($V164),"",OFFSET('Smelter Look-up'!$E$4,$V164-4,0))</f>
        <v>CID000468</v>
      </c>
      <c r="G164" s="217" t="str">
        <f ca="1">IF(C164=$X$4,"Enter smelter details",IF(ISERROR($V164),"",OFFSET('Smelter Look-up'!$F$4,$V164-4,0)))</f>
        <v>RMI</v>
      </c>
      <c r="H164" s="218">
        <f ca="1">IF(ISERROR($V164),"",OFFSET('Smelter Look-up'!$G$4,$V164-4,0))</f>
        <v>0</v>
      </c>
      <c r="I164" s="219" t="str">
        <f ca="1">IF(ISERROR($V164),"",OFFSET('Smelter Look-up'!$H$4,$V164-4,0))</f>
        <v>Chmielów</v>
      </c>
      <c r="J164" s="219" t="str">
        <f ca="1">IF(ISERROR($V164),"",OFFSET('Smelter Look-up'!$I$4,$V164-4,0))</f>
        <v>Podkarpackie</v>
      </c>
      <c r="K164" s="273"/>
      <c r="L164" s="273"/>
      <c r="M164" s="273"/>
      <c r="N164" s="273"/>
      <c r="O164" s="273"/>
      <c r="P164" s="220"/>
      <c r="Q164" s="274"/>
      <c r="R164" s="217" t="str">
        <f ca="1">IF(ISERROR($V164),"",OFFSET('Smelter Look-up'!$C$4,$V164-4,0)&amp;"")</f>
        <v>Fenix Metals</v>
      </c>
      <c r="S164" s="225" t="str">
        <f t="shared" ca="1" si="21"/>
        <v>PL</v>
      </c>
      <c r="T164" s="225" t="str">
        <f ca="1">IF(B164="","",IF(ISERROR(MATCH($J164,SorP!$B$1:$B$6230,0)),"",INDIRECT("'SorP'!$A$"&amp;MATCH($J164,SorP!$B$1:$B$6230,0))))</f>
        <v>PL-18</v>
      </c>
      <c r="U164" s="241"/>
      <c r="V164" s="275">
        <f ca="1">IF(C164="",NA(),MATCH($B164&amp;$C164,'Smelter Look-up'!$J:$J,0))</f>
        <v>383</v>
      </c>
      <c r="W164" s="276"/>
      <c r="X164" s="276">
        <f t="shared" ca="1" si="22"/>
        <v>0</v>
      </c>
      <c r="Y164" s="276"/>
      <c r="Z164" s="276"/>
      <c r="AB164" s="278" t="str">
        <f t="shared" ca="1" si="23"/>
        <v>TinFenix Metals</v>
      </c>
    </row>
    <row r="165" spans="1:28" s="277" customFormat="1" ht="89.25">
      <c r="A165" s="216" t="s">
        <v>787</v>
      </c>
      <c r="B165" s="217" t="str">
        <f ca="1">IF(LEN(A165)=0,"",INDEX('Smelter Look-up'!$A:$A,MATCH($A165,'Smelter Look-up'!$E:$E,0)))</f>
        <v>Tin</v>
      </c>
      <c r="C165" s="221" t="str">
        <f ca="1">IF(LEN(A165)=0,"",INDEX('Smelter Look-up'!$C:$C,MATCH($A165,'Smelter Look-up'!$E:$E,0)))</f>
        <v>Gejiu Non-Ferrous Metal Processing Co., Ltd.</v>
      </c>
      <c r="D165" s="283"/>
      <c r="E165" s="217" t="str">
        <f ca="1">IF(ISERROR($V165),"",OFFSET('Smelter Look-up'!$D$4,$V165-4,0)&amp;"")</f>
        <v>CHINA</v>
      </c>
      <c r="F165" s="217" t="str">
        <f ca="1">IF(ISERROR($V165),"",OFFSET('Smelter Look-up'!$E$4,$V165-4,0))</f>
        <v>CID000538</v>
      </c>
      <c r="G165" s="217" t="str">
        <f ca="1">IF(C165=$X$4,"Enter smelter details",IF(ISERROR($V165),"",OFFSET('Smelter Look-up'!$F$4,$V165-4,0)))</f>
        <v>RMI</v>
      </c>
      <c r="H165" s="218">
        <f ca="1">IF(ISERROR($V165),"",OFFSET('Smelter Look-up'!$G$4,$V165-4,0))</f>
        <v>0</v>
      </c>
      <c r="I165" s="219" t="str">
        <f ca="1">IF(ISERROR($V165),"",OFFSET('Smelter Look-up'!$H$4,$V165-4,0))</f>
        <v>Gejiu</v>
      </c>
      <c r="J165" s="219" t="str">
        <f ca="1">IF(ISERROR($V165),"",OFFSET('Smelter Look-up'!$I$4,$V165-4,0))</f>
        <v>Yunnan Sheng</v>
      </c>
      <c r="K165" s="273"/>
      <c r="L165" s="273"/>
      <c r="M165" s="273"/>
      <c r="N165" s="273"/>
      <c r="O165" s="273"/>
      <c r="P165" s="220"/>
      <c r="Q165" s="274"/>
      <c r="R165" s="217" t="str">
        <f ca="1">IF(ISERROR($V165),"",OFFSET('Smelter Look-up'!$C$4,$V165-4,0)&amp;"")</f>
        <v>Gejiu Non-Ferrous Metal Processing Co., Ltd.</v>
      </c>
      <c r="S165" s="225" t="str">
        <f t="shared" ca="1" si="21"/>
        <v>CN</v>
      </c>
      <c r="T165" s="225" t="str">
        <f ca="1">IF(B165="","",IF(ISERROR(MATCH($J165,SorP!$B$1:$B$6230,0)),"",INDIRECT("'SorP'!$A$"&amp;MATCH($J165,SorP!$B$1:$B$6230,0))))</f>
        <v>CN-YN</v>
      </c>
      <c r="U165" s="241"/>
      <c r="V165" s="275">
        <f ca="1">IF(C165="",NA(),MATCH($B165&amp;$C165,'Smelter Look-up'!$J:$J,0))</f>
        <v>389</v>
      </c>
      <c r="W165" s="276"/>
      <c r="X165" s="276">
        <f t="shared" ca="1" si="22"/>
        <v>0</v>
      </c>
      <c r="Y165" s="276"/>
      <c r="Z165" s="276"/>
      <c r="AB165" s="278" t="str">
        <f t="shared" ca="1" si="23"/>
        <v>TinGejiu Non-Ferrous Metal Processing Co., Ltd.</v>
      </c>
    </row>
    <row r="166" spans="1:28" s="277" customFormat="1" ht="63.75">
      <c r="A166" s="216" t="s">
        <v>791</v>
      </c>
      <c r="B166" s="217" t="str">
        <f ca="1">IF(LEN(A166)=0,"",INDEX('Smelter Look-up'!$A:$A,MATCH($A166,'Smelter Look-up'!$E:$E,0)))</f>
        <v>Tin</v>
      </c>
      <c r="C166" s="221" t="str">
        <f ca="1">IF(LEN(A166)=0,"",INDEX('Smelter Look-up'!$C:$C,MATCH($A166,'Smelter Look-up'!$E:$E,0)))</f>
        <v>China Tin Group Co., Ltd.</v>
      </c>
      <c r="D166" s="283"/>
      <c r="E166" s="217" t="str">
        <f ca="1">IF(ISERROR($V166),"",OFFSET('Smelter Look-up'!$D$4,$V166-4,0)&amp;"")</f>
        <v>CHINA</v>
      </c>
      <c r="F166" s="217" t="str">
        <f ca="1">IF(ISERROR($V166),"",OFFSET('Smelter Look-up'!$E$4,$V166-4,0))</f>
        <v>CID001070</v>
      </c>
      <c r="G166" s="217" t="str">
        <f ca="1">IF(C166=$X$4,"Enter smelter details",IF(ISERROR($V166),"",OFFSET('Smelter Look-up'!$F$4,$V166-4,0)))</f>
        <v>RMI</v>
      </c>
      <c r="H166" s="218">
        <f ca="1">IF(ISERROR($V166),"",OFFSET('Smelter Look-up'!$G$4,$V166-4,0))</f>
        <v>0</v>
      </c>
      <c r="I166" s="219" t="str">
        <f ca="1">IF(ISERROR($V166),"",OFFSET('Smelter Look-up'!$H$4,$V166-4,0))</f>
        <v>Laibin</v>
      </c>
      <c r="J166" s="219" t="str">
        <f ca="1">IF(ISERROR($V166),"",OFFSET('Smelter Look-up'!$I$4,$V166-4,0))</f>
        <v>Guangxi Zhuangzu Zizhiqu</v>
      </c>
      <c r="K166" s="273"/>
      <c r="L166" s="273"/>
      <c r="M166" s="273"/>
      <c r="N166" s="273"/>
      <c r="O166" s="273"/>
      <c r="P166" s="220"/>
      <c r="Q166" s="274"/>
      <c r="R166" s="217" t="str">
        <f ca="1">IF(ISERROR($V166),"",OFFSET('Smelter Look-up'!$C$4,$V166-4,0)&amp;"")</f>
        <v>China Tin Group Co., Ltd.</v>
      </c>
      <c r="S166" s="225" t="str">
        <f t="shared" ref="S166:S196" ca="1" si="24">IF(B166="","",IF(ISERROR(MATCH($E166,CL,0)),"Unknown",INDIRECT("'C'!$A$"&amp;MATCH($E166,CL,0)+1)))</f>
        <v>CN</v>
      </c>
      <c r="T166" s="225" t="str">
        <f ca="1">IF(B166="","",IF(ISERROR(MATCH($J166,SorP!$B$1:$B$6230,0)),"",INDIRECT("'SorP'!$A$"&amp;MATCH($J166,SorP!$B$1:$B$6230,0))))</f>
        <v>CN-GX</v>
      </c>
      <c r="U166" s="241"/>
      <c r="V166" s="275">
        <f ca="1">IF(C166="",NA(),MATCH($B166&amp;$C166,'Smelter Look-up'!$J:$J,0))</f>
        <v>367</v>
      </c>
      <c r="W166" s="276"/>
      <c r="X166" s="276">
        <f t="shared" ref="X166:X196" ca="1" si="25">IF(AND(C166="Smelter not listed",OR(LEN(D166)=0,LEN(E166)=0)),1,0)</f>
        <v>0</v>
      </c>
      <c r="Y166" s="276"/>
      <c r="Z166" s="276"/>
      <c r="AB166" s="278" t="str">
        <f t="shared" ref="AB166:AB196" ca="1" si="26">B166&amp;C166</f>
        <v>TinChina Tin Group Co., Ltd.</v>
      </c>
    </row>
    <row r="167" spans="1:28" s="277" customFormat="1" ht="51">
      <c r="A167" s="216" t="s">
        <v>1820</v>
      </c>
      <c r="B167" s="217" t="str">
        <f ca="1">IF(LEN(A167)=0,"",INDEX('Smelter Look-up'!$A:$A,MATCH($A167,'Smelter Look-up'!$E:$E,0)))</f>
        <v>Tin</v>
      </c>
      <c r="C167" s="221" t="str">
        <f ca="1">IF(LEN(A167)=0,"",INDEX('Smelter Look-up'!$C:$C,MATCH($A167,'Smelter Look-up'!$E:$E,0)))</f>
        <v>Metallic Resources, Inc.</v>
      </c>
      <c r="D167" s="283"/>
      <c r="E167" s="217" t="str">
        <f ca="1">IF(ISERROR($V167),"",OFFSET('Smelter Look-up'!$D$4,$V167-4,0)&amp;"")</f>
        <v>UNITED STATES OF AMERICA</v>
      </c>
      <c r="F167" s="217" t="str">
        <f ca="1">IF(ISERROR($V167),"",OFFSET('Smelter Look-up'!$E$4,$V167-4,0))</f>
        <v>CID001142</v>
      </c>
      <c r="G167" s="217" t="str">
        <f ca="1">IF(C167=$X$4,"Enter smelter details",IF(ISERROR($V167),"",OFFSET('Smelter Look-up'!$F$4,$V167-4,0)))</f>
        <v>RMI</v>
      </c>
      <c r="H167" s="218">
        <f ca="1">IF(ISERROR($V167),"",OFFSET('Smelter Look-up'!$G$4,$V167-4,0))</f>
        <v>0</v>
      </c>
      <c r="I167" s="219" t="str">
        <f ca="1">IF(ISERROR($V167),"",OFFSET('Smelter Look-up'!$H$4,$V167-4,0))</f>
        <v>Twinsburg</v>
      </c>
      <c r="J167" s="219" t="str">
        <f ca="1">IF(ISERROR($V167),"",OFFSET('Smelter Look-up'!$I$4,$V167-4,0))</f>
        <v>Ohio</v>
      </c>
      <c r="K167" s="273"/>
      <c r="L167" s="273"/>
      <c r="M167" s="273"/>
      <c r="N167" s="273"/>
      <c r="O167" s="273"/>
      <c r="P167" s="220"/>
      <c r="Q167" s="274"/>
      <c r="R167" s="217" t="str">
        <f ca="1">IF(ISERROR($V167),"",OFFSET('Smelter Look-up'!$C$4,$V167-4,0)&amp;"")</f>
        <v>Metallic Resources, Inc.</v>
      </c>
      <c r="S167" s="225" t="str">
        <f t="shared" ca="1" si="24"/>
        <v>US</v>
      </c>
      <c r="T167" s="225" t="str">
        <f ca="1">IF(B167="","",IF(ISERROR(MATCH($J167,SorP!$B$1:$B$6230,0)),"",INDIRECT("'SorP'!$A$"&amp;MATCH($J167,SorP!$B$1:$B$6230,0))))</f>
        <v>US-OH</v>
      </c>
      <c r="U167" s="241"/>
      <c r="V167" s="275">
        <f ca="1">IF(C167="",NA(),MATCH($B167&amp;$C167,'Smelter Look-up'!$J:$J,0))</f>
        <v>418</v>
      </c>
      <c r="W167" s="276"/>
      <c r="X167" s="276">
        <f t="shared" ca="1" si="25"/>
        <v>0</v>
      </c>
      <c r="Y167" s="276"/>
      <c r="Z167" s="276"/>
      <c r="AB167" s="278" t="str">
        <f t="shared" ca="1" si="26"/>
        <v>TinMetallic Resources, Inc.</v>
      </c>
    </row>
    <row r="168" spans="1:28" s="277" customFormat="1" ht="76.5">
      <c r="A168" s="216" t="s">
        <v>795</v>
      </c>
      <c r="B168" s="217" t="str">
        <f ca="1">IF(LEN(A168)=0,"",INDEX('Smelter Look-up'!$A:$A,MATCH($A168,'Smelter Look-up'!$E:$E,0)))</f>
        <v>Tin</v>
      </c>
      <c r="C168" s="221" t="str">
        <f ca="1">IF(LEN(A168)=0,"",INDEX('Smelter Look-up'!$C:$C,MATCH($A168,'Smelter Look-up'!$E:$E,0)))</f>
        <v>Mitsubishi Materials Corporation</v>
      </c>
      <c r="D168" s="283"/>
      <c r="E168" s="217" t="str">
        <f ca="1">IF(ISERROR($V168),"",OFFSET('Smelter Look-up'!$D$4,$V168-4,0)&amp;"")</f>
        <v>JAPAN</v>
      </c>
      <c r="F168" s="217" t="str">
        <f ca="1">IF(ISERROR($V168),"",OFFSET('Smelter Look-up'!$E$4,$V168-4,0))</f>
        <v>CID001191</v>
      </c>
      <c r="G168" s="217" t="str">
        <f ca="1">IF(C168=$X$4,"Enter smelter details",IF(ISERROR($V168),"",OFFSET('Smelter Look-up'!$F$4,$V168-4,0)))</f>
        <v>RMI</v>
      </c>
      <c r="H168" s="218">
        <f ca="1">IF(ISERROR($V168),"",OFFSET('Smelter Look-up'!$G$4,$V168-4,0))</f>
        <v>0</v>
      </c>
      <c r="I168" s="219" t="str">
        <f ca="1">IF(ISERROR($V168),"",OFFSET('Smelter Look-up'!$H$4,$V168-4,0))</f>
        <v>Asago</v>
      </c>
      <c r="J168" s="219" t="str">
        <f ca="1">IF(ISERROR($V168),"",OFFSET('Smelter Look-up'!$I$4,$V168-4,0))</f>
        <v>Hyogo</v>
      </c>
      <c r="K168" s="273"/>
      <c r="L168" s="273"/>
      <c r="M168" s="273"/>
      <c r="N168" s="273"/>
      <c r="O168" s="273"/>
      <c r="P168" s="220"/>
      <c r="Q168" s="274"/>
      <c r="R168" s="217" t="str">
        <f ca="1">IF(ISERROR($V168),"",OFFSET('Smelter Look-up'!$C$4,$V168-4,0)&amp;"")</f>
        <v>Mitsubishi Materials Corporation</v>
      </c>
      <c r="S168" s="225" t="str">
        <f t="shared" ca="1" si="24"/>
        <v>JP</v>
      </c>
      <c r="T168" s="225" t="str">
        <f ca="1">IF(B168="","",IF(ISERROR(MATCH($J168,SorP!$B$1:$B$6230,0)),"",INDIRECT("'SorP'!$A$"&amp;MATCH($J168,SorP!$B$1:$B$6230,0))))</f>
        <v>JP-28</v>
      </c>
      <c r="U168" s="241"/>
      <c r="V168" s="275">
        <f ca="1">IF(C168="",NA(),MATCH($B168&amp;$C168,'Smelter Look-up'!$J:$J,0))</f>
        <v>425</v>
      </c>
      <c r="W168" s="276"/>
      <c r="X168" s="276">
        <f t="shared" ca="1" si="25"/>
        <v>0</v>
      </c>
      <c r="Y168" s="276"/>
      <c r="Z168" s="276"/>
      <c r="AB168" s="278" t="str">
        <f t="shared" ca="1" si="26"/>
        <v>TinMitsubishi Materials Corporation</v>
      </c>
    </row>
    <row r="169" spans="1:28" s="277" customFormat="1" ht="63.75">
      <c r="A169" s="216" t="s">
        <v>799</v>
      </c>
      <c r="B169" s="217" t="str">
        <f ca="1">IF(LEN(A169)=0,"",INDEX('Smelter Look-up'!$A:$A,MATCH($A169,'Smelter Look-up'!$E:$E,0)))</f>
        <v>Tin</v>
      </c>
      <c r="C169" s="221" t="str">
        <f ca="1">IF(LEN(A169)=0,"",INDEX('Smelter Look-up'!$C:$C,MATCH($A169,'Smelter Look-up'!$E:$E,0)))</f>
        <v>PT Artha Cipta Langgeng</v>
      </c>
      <c r="D169" s="283"/>
      <c r="E169" s="217" t="str">
        <f ca="1">IF(ISERROR($V169),"",OFFSET('Smelter Look-up'!$D$4,$V169-4,0)&amp;"")</f>
        <v>INDONESIA</v>
      </c>
      <c r="F169" s="217" t="str">
        <f ca="1">IF(ISERROR($V169),"",OFFSET('Smelter Look-up'!$E$4,$V169-4,0))</f>
        <v>CID001399</v>
      </c>
      <c r="G169" s="217" t="str">
        <f ca="1">IF(C169=$X$4,"Enter smelter details",IF(ISERROR($V169),"",OFFSET('Smelter Look-up'!$F$4,$V169-4,0)))</f>
        <v>RMI</v>
      </c>
      <c r="H169" s="218">
        <f ca="1">IF(ISERROR($V169),"",OFFSET('Smelter Look-up'!$G$4,$V169-4,0))</f>
        <v>0</v>
      </c>
      <c r="I169" s="219" t="str">
        <f ca="1">IF(ISERROR($V169),"",OFFSET('Smelter Look-up'!$H$4,$V169-4,0))</f>
        <v>Sungailiat</v>
      </c>
      <c r="J169" s="219" t="str">
        <f ca="1">IF(ISERROR($V169),"",OFFSET('Smelter Look-up'!$I$4,$V169-4,0))</f>
        <v>Kepulauan Bangka Belitung</v>
      </c>
      <c r="K169" s="273"/>
      <c r="L169" s="273"/>
      <c r="M169" s="273"/>
      <c r="N169" s="273"/>
      <c r="O169" s="273"/>
      <c r="P169" s="220"/>
      <c r="Q169" s="274"/>
      <c r="R169" s="217" t="str">
        <f ca="1">IF(ISERROR($V169),"",OFFSET('Smelter Look-up'!$C$4,$V169-4,0)&amp;"")</f>
        <v>PT Artha Cipta Langgeng</v>
      </c>
      <c r="S169" s="225" t="str">
        <f t="shared" ca="1" si="24"/>
        <v>ID</v>
      </c>
      <c r="T169" s="225" t="str">
        <f ca="1">IF(B169="","",IF(ISERROR(MATCH($J169,SorP!$B$1:$B$6230,0)),"",INDIRECT("'SorP'!$A$"&amp;MATCH($J169,SorP!$B$1:$B$6230,0))))</f>
        <v>ID-BB</v>
      </c>
      <c r="U169" s="241"/>
      <c r="V169" s="275">
        <f ca="1">IF(C169="",NA(),MATCH($B169&amp;$C169,'Smelter Look-up'!$J:$J,0))</f>
        <v>438</v>
      </c>
      <c r="W169" s="276"/>
      <c r="X169" s="276">
        <f t="shared" ca="1" si="25"/>
        <v>0</v>
      </c>
      <c r="Y169" s="276"/>
      <c r="Z169" s="276"/>
      <c r="AB169" s="278" t="str">
        <f t="shared" ca="1" si="26"/>
        <v>TinPT Artha Cipta Langgeng</v>
      </c>
    </row>
    <row r="170" spans="1:28" s="277" customFormat="1" ht="51">
      <c r="A170" s="216" t="s">
        <v>15540</v>
      </c>
      <c r="B170" s="217" t="s">
        <v>1154</v>
      </c>
      <c r="C170" s="348" t="s">
        <v>15541</v>
      </c>
      <c r="D170" s="283"/>
      <c r="E170" s="217" t="s">
        <v>1128</v>
      </c>
      <c r="F170" s="217" t="s">
        <v>15540</v>
      </c>
      <c r="G170" s="217" t="s">
        <v>13577</v>
      </c>
      <c r="H170" s="218" t="str">
        <f ca="1">IF(ISERROR($V170),"",OFFSET('Smelter Look-up'!$G$4,$V170-4,0))</f>
        <v/>
      </c>
      <c r="I170" s="350" t="s">
        <v>15542</v>
      </c>
      <c r="J170" s="350" t="s">
        <v>13183</v>
      </c>
      <c r="K170" s="273"/>
      <c r="L170" s="273"/>
      <c r="M170" s="273"/>
      <c r="N170" s="273"/>
      <c r="O170" s="273"/>
      <c r="P170" s="220"/>
      <c r="Q170" s="274"/>
      <c r="R170" s="217" t="str">
        <f ca="1">IF(ISERROR($V170),"",OFFSET('Smelter Look-up'!$C$4,$V170-4,0)&amp;"")</f>
        <v/>
      </c>
      <c r="S170" s="225" t="str">
        <f t="shared" ca="1" si="24"/>
        <v>ID</v>
      </c>
      <c r="T170" s="225" t="str">
        <f ca="1">IF(B170="","",IF(ISERROR(MATCH($J170,SorP!$B$1:$B$6230,0)),"",INDIRECT("'SorP'!$A$"&amp;MATCH($J170,SorP!$B$1:$B$6230,0))))</f>
        <v>ID-BB</v>
      </c>
      <c r="U170" s="241"/>
      <c r="V170" s="275" t="e">
        <f>IF(C170="",NA(),MATCH($B170&amp;$C170,'Smelter Look-up'!$J:$J,0))</f>
        <v>#N/A</v>
      </c>
      <c r="W170" s="276"/>
      <c r="X170" s="276">
        <f t="shared" si="25"/>
        <v>0</v>
      </c>
      <c r="Y170" s="276"/>
      <c r="Z170" s="276"/>
      <c r="AB170" s="278" t="str">
        <f t="shared" si="26"/>
        <v>TinPT Babel Inti Perkasa</v>
      </c>
    </row>
    <row r="171" spans="1:28" s="277" customFormat="1" ht="51">
      <c r="A171" s="216" t="s">
        <v>15543</v>
      </c>
      <c r="B171" s="217" t="s">
        <v>1154</v>
      </c>
      <c r="C171" s="348" t="s">
        <v>15544</v>
      </c>
      <c r="D171" s="283"/>
      <c r="E171" s="217" t="s">
        <v>1128</v>
      </c>
      <c r="F171" s="217" t="s">
        <v>15543</v>
      </c>
      <c r="G171" s="217" t="s">
        <v>13577</v>
      </c>
      <c r="H171" s="218" t="str">
        <f ca="1">IF(ISERROR($V171),"",OFFSET('Smelter Look-up'!$G$4,$V171-4,0))</f>
        <v/>
      </c>
      <c r="I171" s="350" t="s">
        <v>1805</v>
      </c>
      <c r="J171" s="350" t="s">
        <v>13183</v>
      </c>
      <c r="K171" s="273"/>
      <c r="L171" s="273"/>
      <c r="M171" s="273"/>
      <c r="N171" s="273"/>
      <c r="O171" s="273"/>
      <c r="P171" s="220"/>
      <c r="Q171" s="274"/>
      <c r="R171" s="217" t="str">
        <f ca="1">IF(ISERROR($V171),"",OFFSET('Smelter Look-up'!$C$4,$V171-4,0)&amp;"")</f>
        <v/>
      </c>
      <c r="S171" s="225" t="str">
        <f t="shared" ca="1" si="24"/>
        <v>ID</v>
      </c>
      <c r="T171" s="225" t="str">
        <f ca="1">IF(B171="","",IF(ISERROR(MATCH($J171,SorP!$B$1:$B$6230,0)),"",INDIRECT("'SorP'!$A$"&amp;MATCH($J171,SorP!$B$1:$B$6230,0))))</f>
        <v>ID-BB</v>
      </c>
      <c r="U171" s="241"/>
      <c r="V171" s="275" t="e">
        <f>IF(C171="",NA(),MATCH($B171&amp;$C171,'Smelter Look-up'!$J:$J,0))</f>
        <v>#N/A</v>
      </c>
      <c r="W171" s="276"/>
      <c r="X171" s="276">
        <f t="shared" si="25"/>
        <v>0</v>
      </c>
      <c r="Y171" s="276"/>
      <c r="Z171" s="276"/>
      <c r="AB171" s="278" t="str">
        <f t="shared" si="26"/>
        <v>TinPT Bangka Tin Industry</v>
      </c>
    </row>
    <row r="172" spans="1:28" s="277" customFormat="1" ht="63.75">
      <c r="A172" s="216" t="s">
        <v>15545</v>
      </c>
      <c r="B172" s="217" t="s">
        <v>1154</v>
      </c>
      <c r="C172" s="348" t="s">
        <v>15546</v>
      </c>
      <c r="D172" s="283"/>
      <c r="E172" s="217" t="s">
        <v>1128</v>
      </c>
      <c r="F172" s="217" t="s">
        <v>15545</v>
      </c>
      <c r="G172" s="217" t="s">
        <v>13577</v>
      </c>
      <c r="H172" s="218" t="str">
        <f ca="1">IF(ISERROR($V172),"",OFFSET('Smelter Look-up'!$G$4,$V172-4,0))</f>
        <v/>
      </c>
      <c r="I172" s="350" t="s">
        <v>15547</v>
      </c>
      <c r="J172" s="350" t="s">
        <v>13183</v>
      </c>
      <c r="K172" s="273"/>
      <c r="L172" s="273"/>
      <c r="M172" s="273"/>
      <c r="N172" s="273"/>
      <c r="O172" s="273"/>
      <c r="P172" s="220"/>
      <c r="Q172" s="274"/>
      <c r="R172" s="217" t="str">
        <f ca="1">IF(ISERROR($V172),"",OFFSET('Smelter Look-up'!$C$4,$V172-4,0)&amp;"")</f>
        <v/>
      </c>
      <c r="S172" s="225" t="str">
        <f t="shared" ca="1" si="24"/>
        <v>ID</v>
      </c>
      <c r="T172" s="225" t="str">
        <f ca="1">IF(B172="","",IF(ISERROR(MATCH($J172,SorP!$B$1:$B$6230,0)),"",INDIRECT("'SorP'!$A$"&amp;MATCH($J172,SorP!$B$1:$B$6230,0))))</f>
        <v>ID-BB</v>
      </c>
      <c r="U172" s="241"/>
      <c r="V172" s="275" t="e">
        <f>IF(C172="",NA(),MATCH($B172&amp;$C172,'Smelter Look-up'!$J:$J,0))</f>
        <v>#N/A</v>
      </c>
      <c r="W172" s="276"/>
      <c r="X172" s="276">
        <f t="shared" si="25"/>
        <v>0</v>
      </c>
      <c r="Y172" s="276"/>
      <c r="Z172" s="276"/>
      <c r="AB172" s="278" t="str">
        <f t="shared" si="26"/>
        <v>TinPT Belitung Industri Sejahtera</v>
      </c>
    </row>
    <row r="173" spans="1:28" s="277" customFormat="1" ht="38.25">
      <c r="A173" s="216" t="s">
        <v>15548</v>
      </c>
      <c r="B173" s="217" t="s">
        <v>1154</v>
      </c>
      <c r="C173" s="348" t="s">
        <v>15549</v>
      </c>
      <c r="D173" s="283"/>
      <c r="E173" s="217" t="s">
        <v>1128</v>
      </c>
      <c r="F173" s="217" t="s">
        <v>15548</v>
      </c>
      <c r="G173" s="217" t="s">
        <v>13577</v>
      </c>
      <c r="H173" s="218" t="str">
        <f ca="1">IF(ISERROR($V173),"",OFFSET('Smelter Look-up'!$G$4,$V173-4,0))</f>
        <v/>
      </c>
      <c r="I173" s="350" t="s">
        <v>15527</v>
      </c>
      <c r="J173" s="350" t="s">
        <v>13183</v>
      </c>
      <c r="K173" s="273"/>
      <c r="L173" s="273"/>
      <c r="M173" s="273"/>
      <c r="N173" s="273"/>
      <c r="O173" s="273"/>
      <c r="P173" s="220"/>
      <c r="Q173" s="274"/>
      <c r="R173" s="217" t="str">
        <f ca="1">IF(ISERROR($V173),"",OFFSET('Smelter Look-up'!$C$4,$V173-4,0)&amp;"")</f>
        <v/>
      </c>
      <c r="S173" s="225" t="str">
        <f t="shared" ca="1" si="24"/>
        <v>ID</v>
      </c>
      <c r="T173" s="225" t="str">
        <f ca="1">IF(B173="","",IF(ISERROR(MATCH($J173,SorP!$B$1:$B$6230,0)),"",INDIRECT("'SorP'!$A$"&amp;MATCH($J173,SorP!$B$1:$B$6230,0))))</f>
        <v>ID-BB</v>
      </c>
      <c r="U173" s="241"/>
      <c r="V173" s="275" t="e">
        <f>IF(C173="",NA(),MATCH($B173&amp;$C173,'Smelter Look-up'!$J:$J,0))</f>
        <v>#N/A</v>
      </c>
      <c r="W173" s="276"/>
      <c r="X173" s="276">
        <f t="shared" si="25"/>
        <v>0</v>
      </c>
      <c r="Y173" s="276"/>
      <c r="Z173" s="276"/>
      <c r="AB173" s="278" t="str">
        <f t="shared" si="26"/>
        <v>TinPT Bukit Timah</v>
      </c>
    </row>
    <row r="174" spans="1:28" s="277" customFormat="1" ht="51">
      <c r="A174" s="216" t="s">
        <v>15550</v>
      </c>
      <c r="B174" s="217" t="s">
        <v>1154</v>
      </c>
      <c r="C174" s="348" t="s">
        <v>15551</v>
      </c>
      <c r="D174" s="283"/>
      <c r="E174" s="217" t="s">
        <v>1128</v>
      </c>
      <c r="F174" s="217" t="s">
        <v>15550</v>
      </c>
      <c r="G174" s="217" t="s">
        <v>13577</v>
      </c>
      <c r="H174" s="218" t="str">
        <f ca="1">IF(ISERROR($V174),"",OFFSET('Smelter Look-up'!$G$4,$V174-4,0))</f>
        <v/>
      </c>
      <c r="I174" s="350" t="s">
        <v>1805</v>
      </c>
      <c r="J174" s="350" t="s">
        <v>13183</v>
      </c>
      <c r="K174" s="273"/>
      <c r="L174" s="273"/>
      <c r="M174" s="273"/>
      <c r="N174" s="273"/>
      <c r="O174" s="273"/>
      <c r="P174" s="220"/>
      <c r="Q174" s="274"/>
      <c r="R174" s="217" t="str">
        <f ca="1">IF(ISERROR($V174),"",OFFSET('Smelter Look-up'!$C$4,$V174-4,0)&amp;"")</f>
        <v/>
      </c>
      <c r="S174" s="225" t="str">
        <f t="shared" ca="1" si="24"/>
        <v>ID</v>
      </c>
      <c r="T174" s="225" t="str">
        <f ca="1">IF(B174="","",IF(ISERROR(MATCH($J174,SorP!$B$1:$B$6230,0)),"",INDIRECT("'SorP'!$A$"&amp;MATCH($J174,SorP!$B$1:$B$6230,0))))</f>
        <v>ID-BB</v>
      </c>
      <c r="U174" s="241"/>
      <c r="V174" s="275" t="e">
        <f>IF(C174="",NA(),MATCH($B174&amp;$C174,'Smelter Look-up'!$J:$J,0))</f>
        <v>#N/A</v>
      </c>
      <c r="W174" s="276"/>
      <c r="X174" s="276">
        <f t="shared" si="25"/>
        <v>0</v>
      </c>
      <c r="Y174" s="276"/>
      <c r="Z174" s="276"/>
      <c r="AB174" s="278" t="str">
        <f t="shared" si="26"/>
        <v>TinPT Panca Mega Persada</v>
      </c>
    </row>
    <row r="175" spans="1:28" s="277" customFormat="1" ht="51">
      <c r="A175" s="216" t="s">
        <v>801</v>
      </c>
      <c r="B175" s="217" t="str">
        <f ca="1">IF(LEN(A175)=0,"",INDEX('Smelter Look-up'!$A:$A,MATCH($A175,'Smelter Look-up'!$E:$E,0)))</f>
        <v>Tin</v>
      </c>
      <c r="C175" s="221" t="str">
        <f ca="1">IF(LEN(A175)=0,"",INDEX('Smelter Look-up'!$C:$C,MATCH($A175,'Smelter Look-up'!$E:$E,0)))</f>
        <v>PT Refined Bangka Tin</v>
      </c>
      <c r="D175" s="283"/>
      <c r="E175" s="217" t="str">
        <f ca="1">IF(ISERROR($V175),"",OFFSET('Smelter Look-up'!$D$4,$V175-4,0)&amp;"")</f>
        <v>INDONESIA</v>
      </c>
      <c r="F175" s="217" t="str">
        <f ca="1">IF(ISERROR($V175),"",OFFSET('Smelter Look-up'!$E$4,$V175-4,0))</f>
        <v>CID001460</v>
      </c>
      <c r="G175" s="217" t="str">
        <f ca="1">IF(C175=$X$4,"Enter smelter details",IF(ISERROR($V175),"",OFFSET('Smelter Look-up'!$F$4,$V175-4,0)))</f>
        <v>RMI</v>
      </c>
      <c r="H175" s="218">
        <f ca="1">IF(ISERROR($V175),"",OFFSET('Smelter Look-up'!$G$4,$V175-4,0))</f>
        <v>0</v>
      </c>
      <c r="I175" s="219" t="str">
        <f ca="1">IF(ISERROR($V175),"",OFFSET('Smelter Look-up'!$H$4,$V175-4,0))</f>
        <v>Sungailiat</v>
      </c>
      <c r="J175" s="219" t="str">
        <f ca="1">IF(ISERROR($V175),"",OFFSET('Smelter Look-up'!$I$4,$V175-4,0))</f>
        <v>Kepulauan Bangka Belitung</v>
      </c>
      <c r="K175" s="273"/>
      <c r="L175" s="273"/>
      <c r="M175" s="273"/>
      <c r="N175" s="273"/>
      <c r="O175" s="273"/>
      <c r="P175" s="220"/>
      <c r="Q175" s="274"/>
      <c r="R175" s="217" t="str">
        <f ca="1">IF(ISERROR($V175),"",OFFSET('Smelter Look-up'!$C$4,$V175-4,0)&amp;"")</f>
        <v>PT Refined Bangka Tin</v>
      </c>
      <c r="S175" s="225" t="str">
        <f t="shared" ca="1" si="24"/>
        <v>ID</v>
      </c>
      <c r="T175" s="225" t="str">
        <f ca="1">IF(B175="","",IF(ISERROR(MATCH($J175,SorP!$B$1:$B$6230,0)),"",INDIRECT("'SorP'!$A$"&amp;MATCH($J175,SorP!$B$1:$B$6230,0))))</f>
        <v>ID-BB</v>
      </c>
      <c r="U175" s="241"/>
      <c r="V175" s="275">
        <f ca="1">IF(C175="",NA(),MATCH($B175&amp;$C175,'Smelter Look-up'!$J:$J,0))</f>
        <v>443</v>
      </c>
      <c r="W175" s="276"/>
      <c r="X175" s="276">
        <f t="shared" ca="1" si="25"/>
        <v>0</v>
      </c>
      <c r="Y175" s="276"/>
      <c r="Z175" s="276"/>
      <c r="AB175" s="278" t="str">
        <f t="shared" ca="1" si="26"/>
        <v>TinPT Refined Bangka Tin</v>
      </c>
    </row>
    <row r="176" spans="1:28" s="277" customFormat="1" ht="38.25">
      <c r="A176" s="216" t="s">
        <v>15552</v>
      </c>
      <c r="B176" s="217" t="s">
        <v>1154</v>
      </c>
      <c r="C176" s="348" t="s">
        <v>15553</v>
      </c>
      <c r="D176" s="283"/>
      <c r="E176" s="217" t="s">
        <v>1128</v>
      </c>
      <c r="F176" s="217" t="s">
        <v>15552</v>
      </c>
      <c r="G176" s="217" t="s">
        <v>13577</v>
      </c>
      <c r="H176" s="218" t="str">
        <f ca="1">IF(ISERROR($V176),"",OFFSET('Smelter Look-up'!$G$4,$V176-4,0))</f>
        <v/>
      </c>
      <c r="I176" s="350" t="s">
        <v>15554</v>
      </c>
      <c r="J176" s="350" t="s">
        <v>13183</v>
      </c>
      <c r="K176" s="273"/>
      <c r="L176" s="273"/>
      <c r="M176" s="273"/>
      <c r="N176" s="273"/>
      <c r="O176" s="273"/>
      <c r="P176" s="220"/>
      <c r="Q176" s="274"/>
      <c r="R176" s="217" t="str">
        <f ca="1">IF(ISERROR($V176),"",OFFSET('Smelter Look-up'!$C$4,$V176-4,0)&amp;"")</f>
        <v/>
      </c>
      <c r="S176" s="225" t="str">
        <f t="shared" ca="1" si="24"/>
        <v>ID</v>
      </c>
      <c r="T176" s="225" t="str">
        <f ca="1">IF(B176="","",IF(ISERROR(MATCH($J176,SorP!$B$1:$B$6230,0)),"",INDIRECT("'SorP'!$A$"&amp;MATCH($J176,SorP!$B$1:$B$6230,0))))</f>
        <v>ID-BB</v>
      </c>
      <c r="U176" s="241"/>
      <c r="V176" s="275" t="e">
        <f>IF(C176="",NA(),MATCH($B176&amp;$C176,'Smelter Look-up'!$J:$J,0))</f>
        <v>#N/A</v>
      </c>
      <c r="W176" s="276"/>
      <c r="X176" s="276">
        <f t="shared" si="25"/>
        <v>0</v>
      </c>
      <c r="Y176" s="276"/>
      <c r="Z176" s="276"/>
      <c r="AB176" s="278" t="str">
        <f t="shared" si="26"/>
        <v>TinPT Tommy Utama</v>
      </c>
    </row>
    <row r="177" spans="1:28" s="277" customFormat="1" ht="25.5">
      <c r="A177" s="216" t="s">
        <v>804</v>
      </c>
      <c r="B177" s="217" t="str">
        <f ca="1">IF(LEN(A177)=0,"",INDEX('Smelter Look-up'!$A:$A,MATCH($A177,'Smelter Look-up'!$E:$E,0)))</f>
        <v>Tin</v>
      </c>
      <c r="C177" s="221" t="str">
        <f ca="1">IF(LEN(A177)=0,"",INDEX('Smelter Look-up'!$C:$C,MATCH($A177,'Smelter Look-up'!$E:$E,0)))</f>
        <v>Rui Da Hung</v>
      </c>
      <c r="D177" s="283"/>
      <c r="E177" s="217" t="str">
        <f ca="1">IF(ISERROR($V177),"",OFFSET('Smelter Look-up'!$D$4,$V177-4,0)&amp;"")</f>
        <v>TAIWAN, PROVINCE OF CHINA</v>
      </c>
      <c r="F177" s="217" t="str">
        <f ca="1">IF(ISERROR($V177),"",OFFSET('Smelter Look-up'!$E$4,$V177-4,0))</f>
        <v>CID001539</v>
      </c>
      <c r="G177" s="217" t="str">
        <f ca="1">IF(C177=$X$4,"Enter smelter details",IF(ISERROR($V177),"",OFFSET('Smelter Look-up'!$F$4,$V177-4,0)))</f>
        <v>RMI</v>
      </c>
      <c r="H177" s="218">
        <f ca="1">IF(ISERROR($V177),"",OFFSET('Smelter Look-up'!$G$4,$V177-4,0))</f>
        <v>0</v>
      </c>
      <c r="I177" s="219" t="str">
        <f ca="1">IF(ISERROR($V177),"",OFFSET('Smelter Look-up'!$H$4,$V177-4,0))</f>
        <v>Longtan Shiang Taoyuan</v>
      </c>
      <c r="J177" s="219" t="str">
        <f ca="1">IF(ISERROR($V177),"",OFFSET('Smelter Look-up'!$I$4,$V177-4,0))</f>
        <v>Taoyuan</v>
      </c>
      <c r="K177" s="273"/>
      <c r="L177" s="273"/>
      <c r="M177" s="273"/>
      <c r="N177" s="273"/>
      <c r="O177" s="273"/>
      <c r="P177" s="220"/>
      <c r="Q177" s="274"/>
      <c r="R177" s="217" t="str">
        <f ca="1">IF(ISERROR($V177),"",OFFSET('Smelter Look-up'!$C$4,$V177-4,0)&amp;"")</f>
        <v>Rui Da Hung</v>
      </c>
      <c r="S177" s="225" t="str">
        <f t="shared" ca="1" si="24"/>
        <v>TW</v>
      </c>
      <c r="T177" s="225" t="str">
        <f ca="1">IF(B177="","",IF(ISERROR(MATCH($J177,SorP!$B$1:$B$6230,0)),"",INDIRECT("'SorP'!$A$"&amp;MATCH($J177,SorP!$B$1:$B$6230,0))))</f>
        <v>TW-TAO</v>
      </c>
      <c r="U177" s="241"/>
      <c r="V177" s="275">
        <f ca="1">IF(C177="",NA(),MATCH($B177&amp;$C177,'Smelter Look-up'!$J:$J,0))</f>
        <v>450</v>
      </c>
      <c r="W177" s="276"/>
      <c r="X177" s="276">
        <f t="shared" ca="1" si="25"/>
        <v>0</v>
      </c>
      <c r="Y177" s="276"/>
      <c r="Z177" s="276"/>
      <c r="AB177" s="278" t="str">
        <f t="shared" ca="1" si="26"/>
        <v>TinRui Da Hung</v>
      </c>
    </row>
    <row r="178" spans="1:28" s="277" customFormat="1" ht="38.25">
      <c r="A178" s="216" t="s">
        <v>805</v>
      </c>
      <c r="B178" s="217" t="str">
        <f ca="1">IF(LEN(A178)=0,"",INDEX('Smelter Look-up'!$A:$A,MATCH($A178,'Smelter Look-up'!$E:$E,0)))</f>
        <v>Tin</v>
      </c>
      <c r="C178" s="221" t="str">
        <f ca="1">IF(LEN(A178)=0,"",INDEX('Smelter Look-up'!$C:$C,MATCH($A178,'Smelter Look-up'!$E:$E,0)))</f>
        <v>Soft Metais Ltda.</v>
      </c>
      <c r="D178" s="283"/>
      <c r="E178" s="217" t="str">
        <f ca="1">IF(ISERROR($V178),"",OFFSET('Smelter Look-up'!$D$4,$V178-4,0)&amp;"")</f>
        <v>BRAZIL</v>
      </c>
      <c r="F178" s="217" t="str">
        <f ca="1">IF(ISERROR($V178),"",OFFSET('Smelter Look-up'!$E$4,$V178-4,0))</f>
        <v>CID001758</v>
      </c>
      <c r="G178" s="217" t="str">
        <f ca="1">IF(C178=$X$4,"Enter smelter details",IF(ISERROR($V178),"",OFFSET('Smelter Look-up'!$F$4,$V178-4,0)))</f>
        <v>RMI</v>
      </c>
      <c r="H178" s="218">
        <f ca="1">IF(ISERROR($V178),"",OFFSET('Smelter Look-up'!$G$4,$V178-4,0))</f>
        <v>0</v>
      </c>
      <c r="I178" s="219" t="str">
        <f ca="1">IF(ISERROR($V178),"",OFFSET('Smelter Look-up'!$H$4,$V178-4,0))</f>
        <v>Bebedouro</v>
      </c>
      <c r="J178" s="219" t="str">
        <f ca="1">IF(ISERROR($V178),"",OFFSET('Smelter Look-up'!$I$4,$V178-4,0))</f>
        <v>São Paulo</v>
      </c>
      <c r="K178" s="273"/>
      <c r="L178" s="273"/>
      <c r="M178" s="273"/>
      <c r="N178" s="273"/>
      <c r="O178" s="273"/>
      <c r="P178" s="220"/>
      <c r="Q178" s="274"/>
      <c r="R178" s="217" t="str">
        <f ca="1">IF(ISERROR($V178),"",OFFSET('Smelter Look-up'!$C$4,$V178-4,0)&amp;"")</f>
        <v>Soft Metais Ltda.</v>
      </c>
      <c r="S178" s="225" t="str">
        <f t="shared" ca="1" si="24"/>
        <v>BR</v>
      </c>
      <c r="T178" s="225" t="str">
        <f ca="1">IF(B178="","",IF(ISERROR(MATCH($J178,SorP!$B$1:$B$6230,0)),"",INDIRECT("'SorP'!$A$"&amp;MATCH($J178,SorP!$B$1:$B$6230,0))))</f>
        <v>BR-SP</v>
      </c>
      <c r="U178" s="241"/>
      <c r="V178" s="275">
        <f ca="1">IF(C178="",NA(),MATCH($B178&amp;$C178,'Smelter Look-up'!$J:$J,0))</f>
        <v>453</v>
      </c>
      <c r="W178" s="276"/>
      <c r="X178" s="276">
        <f t="shared" ca="1" si="25"/>
        <v>0</v>
      </c>
      <c r="Y178" s="276"/>
      <c r="Z178" s="276"/>
      <c r="AB178" s="278" t="str">
        <f t="shared" ca="1" si="26"/>
        <v>TinSoft Metais Ltda.</v>
      </c>
    </row>
    <row r="179" spans="1:28" s="277" customFormat="1" ht="63.75">
      <c r="A179" s="216" t="s">
        <v>809</v>
      </c>
      <c r="B179" s="217" t="str">
        <f ca="1">IF(LEN(A179)=0,"",INDEX('Smelter Look-up'!$A:$A,MATCH($A179,'Smelter Look-up'!$E:$E,0)))</f>
        <v>Tin</v>
      </c>
      <c r="C179" s="221" t="str">
        <f ca="1">IF(LEN(A179)=0,"",INDEX('Smelter Look-up'!$C:$C,MATCH($A179,'Smelter Look-up'!$E:$E,0)))</f>
        <v>Yunnan Tin Company Limited</v>
      </c>
      <c r="D179" s="283"/>
      <c r="E179" s="217" t="str">
        <f ca="1">IF(ISERROR($V179),"",OFFSET('Smelter Look-up'!$D$4,$V179-4,0)&amp;"")</f>
        <v>CHINA</v>
      </c>
      <c r="F179" s="217" t="str">
        <f ca="1">IF(ISERROR($V179),"",OFFSET('Smelter Look-up'!$E$4,$V179-4,0))</f>
        <v>CID002180</v>
      </c>
      <c r="G179" s="217" t="str">
        <f ca="1">IF(C179=$X$4,"Enter smelter details",IF(ISERROR($V179),"",OFFSET('Smelter Look-up'!$F$4,$V179-4,0)))</f>
        <v>RMI</v>
      </c>
      <c r="H179" s="218">
        <f ca="1">IF(ISERROR($V179),"",OFFSET('Smelter Look-up'!$G$4,$V179-4,0))</f>
        <v>0</v>
      </c>
      <c r="I179" s="219" t="str">
        <f ca="1">IF(ISERROR($V179),"",OFFSET('Smelter Look-up'!$H$4,$V179-4,0))</f>
        <v>Gejiu</v>
      </c>
      <c r="J179" s="219" t="str">
        <f ca="1">IF(ISERROR($V179),"",OFFSET('Smelter Look-up'!$I$4,$V179-4,0))</f>
        <v>Yunnan Sheng</v>
      </c>
      <c r="K179" s="273"/>
      <c r="L179" s="273"/>
      <c r="M179" s="273"/>
      <c r="N179" s="273"/>
      <c r="O179" s="273"/>
      <c r="P179" s="220"/>
      <c r="Q179" s="274"/>
      <c r="R179" s="217" t="str">
        <f ca="1">IF(ISERROR($V179),"",OFFSET('Smelter Look-up'!$C$4,$V179-4,0)&amp;"")</f>
        <v>Yunnan Tin Company Limited</v>
      </c>
      <c r="S179" s="225" t="str">
        <f t="shared" ca="1" si="24"/>
        <v>CN</v>
      </c>
      <c r="T179" s="225" t="str">
        <f ca="1">IF(B179="","",IF(ISERROR(MATCH($J179,SorP!$B$1:$B$6230,0)),"",INDIRECT("'SorP'!$A$"&amp;MATCH($J179,SorP!$B$1:$B$6230,0))))</f>
        <v>CN-YN</v>
      </c>
      <c r="U179" s="241"/>
      <c r="V179" s="275">
        <f ca="1">IF(C179="",NA(),MATCH($B179&amp;$C179,'Smelter Look-up'!$J:$J,0))</f>
        <v>477</v>
      </c>
      <c r="W179" s="276"/>
      <c r="X179" s="276">
        <f t="shared" ca="1" si="25"/>
        <v>0</v>
      </c>
      <c r="Y179" s="276"/>
      <c r="Z179" s="276"/>
      <c r="AB179" s="278" t="str">
        <f t="shared" ca="1" si="26"/>
        <v>TinYunnan Tin Company Limited</v>
      </c>
    </row>
    <row r="180" spans="1:28" s="277" customFormat="1" ht="76.5">
      <c r="A180" s="216" t="s">
        <v>142</v>
      </c>
      <c r="B180" s="217" t="str">
        <f ca="1">IF(LEN(A180)=0,"",INDEX('Smelter Look-up'!$A:$A,MATCH($A180,'Smelter Look-up'!$E:$E,0)))</f>
        <v>Tin</v>
      </c>
      <c r="C180" s="221" t="str">
        <f ca="1">IF(LEN(A180)=0,"",INDEX('Smelter Look-up'!$C:$C,MATCH($A180,'Smelter Look-up'!$E:$E,0)))</f>
        <v>Magnu's Minerais Metais e Ligas Ltda.</v>
      </c>
      <c r="D180" s="283"/>
      <c r="E180" s="217" t="str">
        <f ca="1">IF(ISERROR($V180),"",OFFSET('Smelter Look-up'!$D$4,$V180-4,0)&amp;"")</f>
        <v>BRAZIL</v>
      </c>
      <c r="F180" s="217" t="str">
        <f ca="1">IF(ISERROR($V180),"",OFFSET('Smelter Look-up'!$E$4,$V180-4,0))</f>
        <v>CID002468</v>
      </c>
      <c r="G180" s="217" t="str">
        <f ca="1">IF(C180=$X$4,"Enter smelter details",IF(ISERROR($V180),"",OFFSET('Smelter Look-up'!$F$4,$V180-4,0)))</f>
        <v>RMI</v>
      </c>
      <c r="H180" s="218">
        <f ca="1">IF(ISERROR($V180),"",OFFSET('Smelter Look-up'!$G$4,$V180-4,0))</f>
        <v>0</v>
      </c>
      <c r="I180" s="219" t="str">
        <f ca="1">IF(ISERROR($V180),"",OFFSET('Smelter Look-up'!$H$4,$V180-4,0))</f>
        <v>São João del Rei</v>
      </c>
      <c r="J180" s="219" t="str">
        <f ca="1">IF(ISERROR($V180),"",OFFSET('Smelter Look-up'!$I$4,$V180-4,0))</f>
        <v>Minas Gerais</v>
      </c>
      <c r="K180" s="273"/>
      <c r="L180" s="273"/>
      <c r="M180" s="273"/>
      <c r="N180" s="273"/>
      <c r="O180" s="273"/>
      <c r="P180" s="220"/>
      <c r="Q180" s="274"/>
      <c r="R180" s="217" t="str">
        <f ca="1">IF(ISERROR($V180),"",OFFSET('Smelter Look-up'!$C$4,$V180-4,0)&amp;"")</f>
        <v>Magnu's Minerais Metais e Ligas Ltda.</v>
      </c>
      <c r="S180" s="225" t="str">
        <f t="shared" ca="1" si="24"/>
        <v>BR</v>
      </c>
      <c r="T180" s="225" t="str">
        <f ca="1">IF(B180="","",IF(ISERROR(MATCH($J180,SorP!$B$1:$B$6230,0)),"",INDIRECT("'SorP'!$A$"&amp;MATCH($J180,SorP!$B$1:$B$6230,0))))</f>
        <v>BR-MG</v>
      </c>
      <c r="U180" s="241"/>
      <c r="V180" s="275">
        <f ca="1">IF(C180="",NA(),MATCH($B180&amp;$C180,'Smelter Look-up'!$J:$J,0))</f>
        <v>413</v>
      </c>
      <c r="W180" s="276"/>
      <c r="X180" s="276">
        <f t="shared" ca="1" si="25"/>
        <v>0</v>
      </c>
      <c r="Y180" s="276"/>
      <c r="Z180" s="276"/>
      <c r="AB180" s="278" t="str">
        <f t="shared" ca="1" si="26"/>
        <v>TinMagnu's Minerais Metais e Ligas Ltda.</v>
      </c>
    </row>
    <row r="181" spans="1:28" s="277" customFormat="1" ht="51">
      <c r="A181" s="216" t="s">
        <v>1349</v>
      </c>
      <c r="B181" s="217" t="str">
        <f ca="1">IF(LEN(A181)=0,"",INDEX('Smelter Look-up'!$A:$A,MATCH($A181,'Smelter Look-up'!$E:$E,0)))</f>
        <v>Tin</v>
      </c>
      <c r="C181" s="221" t="str">
        <f ca="1">IF(LEN(A181)=0,"",INDEX('Smelter Look-up'!$C:$C,MATCH($A181,'Smelter Look-up'!$E:$E,0)))</f>
        <v>Melt Metais e Ligas S.A.</v>
      </c>
      <c r="D181" s="283"/>
      <c r="E181" s="217" t="str">
        <f ca="1">IF(ISERROR($V181),"",OFFSET('Smelter Look-up'!$D$4,$V181-4,0)&amp;"")</f>
        <v>BRAZIL</v>
      </c>
      <c r="F181" s="217" t="str">
        <f ca="1">IF(ISERROR($V181),"",OFFSET('Smelter Look-up'!$E$4,$V181-4,0))</f>
        <v>CID002500</v>
      </c>
      <c r="G181" s="217" t="str">
        <f ca="1">IF(C181=$X$4,"Enter smelter details",IF(ISERROR($V181),"",OFFSET('Smelter Look-up'!$F$4,$V181-4,0)))</f>
        <v>RMI</v>
      </c>
      <c r="H181" s="218">
        <f ca="1">IF(ISERROR($V181),"",OFFSET('Smelter Look-up'!$G$4,$V181-4,0))</f>
        <v>0</v>
      </c>
      <c r="I181" s="219" t="str">
        <f ca="1">IF(ISERROR($V181),"",OFFSET('Smelter Look-up'!$H$4,$V181-4,0))</f>
        <v>Ariquemes</v>
      </c>
      <c r="J181" s="219" t="str">
        <f ca="1">IF(ISERROR($V181),"",OFFSET('Smelter Look-up'!$I$4,$V181-4,0))</f>
        <v>Rondônia</v>
      </c>
      <c r="K181" s="273"/>
      <c r="L181" s="273"/>
      <c r="M181" s="273"/>
      <c r="N181" s="273"/>
      <c r="O181" s="273"/>
      <c r="P181" s="220"/>
      <c r="Q181" s="274"/>
      <c r="R181" s="217" t="str">
        <f ca="1">IF(ISERROR($V181),"",OFFSET('Smelter Look-up'!$C$4,$V181-4,0)&amp;"")</f>
        <v>Melt Metais e Ligas S.A.</v>
      </c>
      <c r="S181" s="225" t="str">
        <f t="shared" ca="1" si="24"/>
        <v>BR</v>
      </c>
      <c r="T181" s="225" t="str">
        <f ca="1">IF(B181="","",IF(ISERROR(MATCH($J181,SorP!$B$1:$B$6230,0)),"",INDIRECT("'SorP'!$A$"&amp;MATCH($J181,SorP!$B$1:$B$6230,0))))</f>
        <v>BR-RO</v>
      </c>
      <c r="U181" s="241"/>
      <c r="V181" s="275">
        <f ca="1">IF(C181="",NA(),MATCH($B181&amp;$C181,'Smelter Look-up'!$J:$J,0))</f>
        <v>415</v>
      </c>
      <c r="W181" s="276"/>
      <c r="X181" s="276">
        <f t="shared" ca="1" si="25"/>
        <v>0</v>
      </c>
      <c r="Y181" s="276"/>
      <c r="Z181" s="276"/>
      <c r="AB181" s="278" t="str">
        <f t="shared" ca="1" si="26"/>
        <v>TinMelt Metais e Ligas S.A.</v>
      </c>
    </row>
    <row r="182" spans="1:28" s="277" customFormat="1" ht="63.75">
      <c r="A182" s="216" t="s">
        <v>1427</v>
      </c>
      <c r="B182" s="217" t="str">
        <f ca="1">IF(LEN(A182)=0,"",INDEX('Smelter Look-up'!$A:$A,MATCH($A182,'Smelter Look-up'!$E:$E,0)))</f>
        <v>Tin</v>
      </c>
      <c r="C182" s="221" t="str">
        <f ca="1">IF(LEN(A182)=0,"",INDEX('Smelter Look-up'!$C:$C,MATCH($A182,'Smelter Look-up'!$E:$E,0)))</f>
        <v>PT ATD Makmur Mandiri Jaya</v>
      </c>
      <c r="D182" s="283"/>
      <c r="E182" s="217" t="str">
        <f ca="1">IF(ISERROR($V182),"",OFFSET('Smelter Look-up'!$D$4,$V182-4,0)&amp;"")</f>
        <v>INDONESIA</v>
      </c>
      <c r="F182" s="217" t="str">
        <f ca="1">IF(ISERROR($V182),"",OFFSET('Smelter Look-up'!$E$4,$V182-4,0))</f>
        <v>CID002503</v>
      </c>
      <c r="G182" s="217" t="str">
        <f ca="1">IF(C182=$X$4,"Enter smelter details",IF(ISERROR($V182),"",OFFSET('Smelter Look-up'!$F$4,$V182-4,0)))</f>
        <v>RMI</v>
      </c>
      <c r="H182" s="218">
        <f ca="1">IF(ISERROR($V182),"",OFFSET('Smelter Look-up'!$G$4,$V182-4,0))</f>
        <v>0</v>
      </c>
      <c r="I182" s="219" t="str">
        <f ca="1">IF(ISERROR($V182),"",OFFSET('Smelter Look-up'!$H$4,$V182-4,0))</f>
        <v>Sungailiat</v>
      </c>
      <c r="J182" s="219" t="str">
        <f ca="1">IF(ISERROR($V182),"",OFFSET('Smelter Look-up'!$I$4,$V182-4,0))</f>
        <v>Kepulauan Bangka Belitung</v>
      </c>
      <c r="K182" s="273"/>
      <c r="L182" s="273"/>
      <c r="M182" s="273"/>
      <c r="N182" s="273"/>
      <c r="O182" s="273"/>
      <c r="P182" s="220"/>
      <c r="Q182" s="274"/>
      <c r="R182" s="217" t="str">
        <f ca="1">IF(ISERROR($V182),"",OFFSET('Smelter Look-up'!$C$4,$V182-4,0)&amp;"")</f>
        <v>PT ATD Makmur Mandiri Jaya</v>
      </c>
      <c r="S182" s="225" t="str">
        <f t="shared" ca="1" si="24"/>
        <v>ID</v>
      </c>
      <c r="T182" s="225" t="str">
        <f ca="1">IF(B182="","",IF(ISERROR(MATCH($J182,SorP!$B$1:$B$6230,0)),"",INDIRECT("'SorP'!$A$"&amp;MATCH($J182,SorP!$B$1:$B$6230,0))))</f>
        <v>ID-BB</v>
      </c>
      <c r="U182" s="241"/>
      <c r="V182" s="275">
        <f ca="1">IF(C182="",NA(),MATCH($B182&amp;$C182,'Smelter Look-up'!$J:$J,0))</f>
        <v>439</v>
      </c>
      <c r="W182" s="276"/>
      <c r="X182" s="276">
        <f t="shared" ca="1" si="25"/>
        <v>0</v>
      </c>
      <c r="Y182" s="276"/>
      <c r="Z182" s="276"/>
      <c r="AB182" s="278" t="str">
        <f t="shared" ca="1" si="26"/>
        <v>TinPT ATD Makmur Mandiri Jaya</v>
      </c>
    </row>
    <row r="183" spans="1:28" s="277" customFormat="1" ht="25.5">
      <c r="A183" s="216" t="s">
        <v>15555</v>
      </c>
      <c r="B183" s="217" t="s">
        <v>1154</v>
      </c>
      <c r="C183" s="348" t="s">
        <v>15556</v>
      </c>
      <c r="D183" s="283"/>
      <c r="E183" s="217" t="s">
        <v>1128</v>
      </c>
      <c r="F183" s="217" t="s">
        <v>15555</v>
      </c>
      <c r="G183" s="217" t="s">
        <v>13577</v>
      </c>
      <c r="H183" s="218" t="str">
        <f ca="1">IF(ISERROR($V183),"",OFFSET('Smelter Look-up'!$G$4,$V183-4,0))</f>
        <v/>
      </c>
      <c r="I183" s="350" t="s">
        <v>1805</v>
      </c>
      <c r="J183" s="350" t="s">
        <v>13183</v>
      </c>
      <c r="K183" s="273"/>
      <c r="L183" s="273"/>
      <c r="M183" s="273"/>
      <c r="N183" s="273"/>
      <c r="O183" s="273"/>
      <c r="P183" s="220"/>
      <c r="Q183" s="274"/>
      <c r="R183" s="217" t="str">
        <f ca="1">IF(ISERROR($V183),"",OFFSET('Smelter Look-up'!$C$4,$V183-4,0)&amp;"")</f>
        <v/>
      </c>
      <c r="S183" s="225" t="str">
        <f t="shared" ca="1" si="24"/>
        <v>ID</v>
      </c>
      <c r="T183" s="225" t="str">
        <f ca="1">IF(B183="","",IF(ISERROR(MATCH($J183,SorP!$B$1:$B$6230,0)),"",INDIRECT("'SorP'!$A$"&amp;MATCH($J183,SorP!$B$1:$B$6230,0))))</f>
        <v>ID-BB</v>
      </c>
      <c r="U183" s="241"/>
      <c r="V183" s="275" t="e">
        <f>IF(C183="",NA(),MATCH($B183&amp;$C183,'Smelter Look-up'!$J:$J,0))</f>
        <v>#N/A</v>
      </c>
      <c r="W183" s="276"/>
      <c r="X183" s="276">
        <f t="shared" si="25"/>
        <v>0</v>
      </c>
      <c r="Y183" s="276"/>
      <c r="Z183" s="276"/>
      <c r="AB183" s="278" t="str">
        <f t="shared" si="26"/>
        <v>TinCV Ayi Jaya</v>
      </c>
    </row>
    <row r="184" spans="1:28" s="277" customFormat="1" ht="38.25">
      <c r="A184" s="216" t="s">
        <v>1858</v>
      </c>
      <c r="B184" s="217" t="str">
        <f ca="1">IF(LEN(A184)=0,"",INDEX('Smelter Look-up'!$A:$A,MATCH($A184,'Smelter Look-up'!$E:$E,0)))</f>
        <v>Tin</v>
      </c>
      <c r="C184" s="221" t="str">
        <f ca="1">IF(LEN(A184)=0,"",INDEX('Smelter Look-up'!$C:$C,MATCH($A184,'Smelter Look-up'!$E:$E,0)))</f>
        <v>Metallo Spain S.L.U.</v>
      </c>
      <c r="D184" s="283"/>
      <c r="E184" s="217" t="str">
        <f ca="1">IF(ISERROR($V184),"",OFFSET('Smelter Look-up'!$D$4,$V184-4,0)&amp;"")</f>
        <v>SPAIN</v>
      </c>
      <c r="F184" s="217" t="str">
        <f ca="1">IF(ISERROR($V184),"",OFFSET('Smelter Look-up'!$E$4,$V184-4,0))</f>
        <v>CID002774</v>
      </c>
      <c r="G184" s="217" t="str">
        <f ca="1">IF(C184=$X$4,"Enter smelter details",IF(ISERROR($V184),"",OFFSET('Smelter Look-up'!$F$4,$V184-4,0)))</f>
        <v>RMI</v>
      </c>
      <c r="H184" s="218">
        <f ca="1">IF(ISERROR($V184),"",OFFSET('Smelter Look-up'!$G$4,$V184-4,0))</f>
        <v>0</v>
      </c>
      <c r="I184" s="219" t="str">
        <f ca="1">IF(ISERROR($V184),"",OFFSET('Smelter Look-up'!$H$4,$V184-4,0))</f>
        <v>Berango</v>
      </c>
      <c r="J184" s="219" t="str">
        <f ca="1">IF(ISERROR($V184),"",OFFSET('Smelter Look-up'!$I$4,$V184-4,0))</f>
        <v>Bizkaia</v>
      </c>
      <c r="K184" s="273"/>
      <c r="L184" s="273"/>
      <c r="M184" s="273"/>
      <c r="N184" s="273"/>
      <c r="O184" s="273"/>
      <c r="P184" s="220"/>
      <c r="Q184" s="274"/>
      <c r="R184" s="217" t="str">
        <f ca="1">IF(ISERROR($V184),"",OFFSET('Smelter Look-up'!$C$4,$V184-4,0)&amp;"")</f>
        <v>Metallo Spain S.L.U.</v>
      </c>
      <c r="S184" s="225" t="str">
        <f t="shared" ca="1" si="24"/>
        <v>ES</v>
      </c>
      <c r="T184" s="225" t="str">
        <f ca="1">IF(B184="","",IF(ISERROR(MATCH($J184,SorP!$B$1:$B$6230,0)),"",INDIRECT("'SorP'!$A$"&amp;MATCH($J184,SorP!$B$1:$B$6230,0))))</f>
        <v>ES-BI</v>
      </c>
      <c r="U184" s="241"/>
      <c r="V184" s="275">
        <f ca="1">IF(C184="",NA(),MATCH($B184&amp;$C184,'Smelter Look-up'!$J:$J,0))</f>
        <v>420</v>
      </c>
      <c r="W184" s="276"/>
      <c r="X184" s="276">
        <f t="shared" ca="1" si="25"/>
        <v>0</v>
      </c>
      <c r="Y184" s="276"/>
      <c r="Z184" s="276"/>
      <c r="AB184" s="278" t="str">
        <f t="shared" ca="1" si="26"/>
        <v>TinMetallo Spain S.L.U.</v>
      </c>
    </row>
    <row r="185" spans="1:28" s="277" customFormat="1" ht="51">
      <c r="A185" s="216" t="s">
        <v>15557</v>
      </c>
      <c r="B185" s="217" t="s">
        <v>1154</v>
      </c>
      <c r="C185" s="348" t="s">
        <v>15558</v>
      </c>
      <c r="D185" s="283"/>
      <c r="E185" s="217" t="s">
        <v>1128</v>
      </c>
      <c r="F185" s="217" t="s">
        <v>15557</v>
      </c>
      <c r="G185" s="217" t="s">
        <v>13577</v>
      </c>
      <c r="H185" s="218" t="str">
        <f ca="1">IF(ISERROR($V185),"",OFFSET('Smelter Look-up'!$G$4,$V185-4,0))</f>
        <v/>
      </c>
      <c r="I185" s="350" t="s">
        <v>15559</v>
      </c>
      <c r="J185" s="350" t="s">
        <v>13183</v>
      </c>
      <c r="K185" s="273"/>
      <c r="L185" s="273"/>
      <c r="M185" s="273"/>
      <c r="N185" s="273"/>
      <c r="O185" s="273"/>
      <c r="P185" s="220"/>
      <c r="Q185" s="274"/>
      <c r="R185" s="217" t="str">
        <f ca="1">IF(ISERROR($V185),"",OFFSET('Smelter Look-up'!$C$4,$V185-4,0)&amp;"")</f>
        <v/>
      </c>
      <c r="S185" s="225" t="str">
        <f t="shared" ca="1" si="24"/>
        <v>ID</v>
      </c>
      <c r="T185" s="225" t="str">
        <f ca="1">IF(B185="","",IF(ISERROR(MATCH($J185,SorP!$B$1:$B$6230,0)),"",INDIRECT("'SorP'!$A$"&amp;MATCH($J185,SorP!$B$1:$B$6230,0))))</f>
        <v>ID-BB</v>
      </c>
      <c r="U185" s="241"/>
      <c r="V185" s="275" t="e">
        <f>IF(C185="",NA(),MATCH($B185&amp;$C185,'Smelter Look-up'!$J:$J,0))</f>
        <v>#N/A</v>
      </c>
      <c r="W185" s="276"/>
      <c r="X185" s="276">
        <f t="shared" si="25"/>
        <v>0</v>
      </c>
      <c r="Y185" s="276"/>
      <c r="Z185" s="276"/>
      <c r="AB185" s="278" t="str">
        <f t="shared" si="26"/>
        <v>TinPT Bangka Prima Tin</v>
      </c>
    </row>
    <row r="186" spans="1:28" s="277" customFormat="1" ht="51">
      <c r="A186" s="216" t="s">
        <v>15560</v>
      </c>
      <c r="B186" s="217" t="s">
        <v>1154</v>
      </c>
      <c r="C186" s="348" t="s">
        <v>15561</v>
      </c>
      <c r="D186" s="283"/>
      <c r="E186" s="217" t="s">
        <v>1128</v>
      </c>
      <c r="F186" s="217" t="s">
        <v>15560</v>
      </c>
      <c r="G186" s="217" t="s">
        <v>13577</v>
      </c>
      <c r="H186" s="218" t="str">
        <f ca="1">IF(ISERROR($V186),"",OFFSET('Smelter Look-up'!$G$4,$V186-4,0))</f>
        <v/>
      </c>
      <c r="I186" s="350" t="s">
        <v>15562</v>
      </c>
      <c r="J186" s="350" t="s">
        <v>13183</v>
      </c>
      <c r="K186" s="273"/>
      <c r="L186" s="273"/>
      <c r="M186" s="273"/>
      <c r="N186" s="273"/>
      <c r="O186" s="273"/>
      <c r="P186" s="220"/>
      <c r="Q186" s="274"/>
      <c r="R186" s="217" t="str">
        <f ca="1">IF(ISERROR($V186),"",OFFSET('Smelter Look-up'!$C$4,$V186-4,0)&amp;"")</f>
        <v/>
      </c>
      <c r="S186" s="225" t="str">
        <f t="shared" ca="1" si="24"/>
        <v>ID</v>
      </c>
      <c r="T186" s="225" t="str">
        <f ca="1">IF(B186="","",IF(ISERROR(MATCH($J186,SorP!$B$1:$B$6230,0)),"",INDIRECT("'SorP'!$A$"&amp;MATCH($J186,SorP!$B$1:$B$6230,0))))</f>
        <v>ID-BB</v>
      </c>
      <c r="U186" s="241"/>
      <c r="V186" s="275" t="e">
        <f>IF(C186="",NA(),MATCH($B186&amp;$C186,'Smelter Look-up'!$J:$J,0))</f>
        <v>#N/A</v>
      </c>
      <c r="W186" s="276"/>
      <c r="X186" s="276">
        <f t="shared" si="25"/>
        <v>0</v>
      </c>
      <c r="Y186" s="276"/>
      <c r="Z186" s="276"/>
      <c r="AB186" s="278" t="str">
        <f t="shared" si="26"/>
        <v>TinPT Sukses Inti Makmur</v>
      </c>
    </row>
    <row r="187" spans="1:28" s="277" customFormat="1" ht="102">
      <c r="A187" s="216" t="s">
        <v>2403</v>
      </c>
      <c r="B187" s="217" t="str">
        <f ca="1">IF(LEN(A187)=0,"",INDEX('Smelter Look-up'!$A:$A,MATCH($A187,'Smelter Look-up'!$E:$E,0)))</f>
        <v>Tin</v>
      </c>
      <c r="C187" s="221" t="str">
        <f ca="1">IF(LEN(A187)=0,"",INDEX('Smelter Look-up'!$C:$C,MATCH($A187,'Smelter Look-up'!$E:$E,0)))</f>
        <v>Chenzhou Yunxiang Mining and Metallurgy Co., Ltd.</v>
      </c>
      <c r="D187" s="283"/>
      <c r="E187" s="217" t="str">
        <f ca="1">IF(ISERROR($V187),"",OFFSET('Smelter Look-up'!$D$4,$V187-4,0)&amp;"")</f>
        <v>CHINA</v>
      </c>
      <c r="F187" s="217" t="str">
        <f ca="1">IF(ISERROR($V187),"",OFFSET('Smelter Look-up'!$E$4,$V187-4,0))</f>
        <v>CID000228</v>
      </c>
      <c r="G187" s="217" t="str">
        <f ca="1">IF(C187=$X$4,"Enter smelter details",IF(ISERROR($V187),"",OFFSET('Smelter Look-up'!$F$4,$V187-4,0)))</f>
        <v>RMI</v>
      </c>
      <c r="H187" s="218">
        <f ca="1">IF(ISERROR($V187),"",OFFSET('Smelter Look-up'!$G$4,$V187-4,0))</f>
        <v>0</v>
      </c>
      <c r="I187" s="219" t="str">
        <f ca="1">IF(ISERROR($V187),"",OFFSET('Smelter Look-up'!$H$4,$V187-4,0))</f>
        <v>Chenzhou</v>
      </c>
      <c r="J187" s="219" t="str">
        <f ca="1">IF(ISERROR($V187),"",OFFSET('Smelter Look-up'!$I$4,$V187-4,0))</f>
        <v>Hunan Sheng</v>
      </c>
      <c r="K187" s="273"/>
      <c r="L187" s="273"/>
      <c r="M187" s="273"/>
      <c r="N187" s="273"/>
      <c r="O187" s="273"/>
      <c r="P187" s="220"/>
      <c r="Q187" s="274"/>
      <c r="R187" s="217" t="str">
        <f ca="1">IF(ISERROR($V187),"",OFFSET('Smelter Look-up'!$C$4,$V187-4,0)&amp;"")</f>
        <v>Chenzhou Yunxiang Mining and Metallurgy Co., Ltd.</v>
      </c>
      <c r="S187" s="225" t="str">
        <f t="shared" ca="1" si="24"/>
        <v>CN</v>
      </c>
      <c r="T187" s="225" t="str">
        <f ca="1">IF(B187="","",IF(ISERROR(MATCH($J187,SorP!$B$1:$B$6230,0)),"",INDIRECT("'SorP'!$A$"&amp;MATCH($J187,SorP!$B$1:$B$6230,0))))</f>
        <v>CN-HN</v>
      </c>
      <c r="U187" s="241"/>
      <c r="V187" s="275">
        <f ca="1">IF(C187="",NA(),MATCH($B187&amp;$C187,'Smelter Look-up'!$J:$J,0))</f>
        <v>364</v>
      </c>
      <c r="W187" s="276"/>
      <c r="X187" s="276">
        <f t="shared" ca="1" si="25"/>
        <v>0</v>
      </c>
      <c r="Y187" s="276"/>
      <c r="Z187" s="276"/>
      <c r="AB187" s="278" t="str">
        <f t="shared" ca="1" si="26"/>
        <v>TinChenzhou Yunxiang Mining and Metallurgy Co., Ltd.</v>
      </c>
    </row>
    <row r="188" spans="1:28" s="277" customFormat="1" ht="51">
      <c r="A188" s="216" t="s">
        <v>15563</v>
      </c>
      <c r="B188" s="217" t="s">
        <v>1154</v>
      </c>
      <c r="C188" s="348" t="s">
        <v>15564</v>
      </c>
      <c r="D188" s="283"/>
      <c r="E188" s="217" t="s">
        <v>1128</v>
      </c>
      <c r="F188" s="217" t="s">
        <v>15563</v>
      </c>
      <c r="G188" s="217" t="s">
        <v>13577</v>
      </c>
      <c r="H188" s="218" t="str">
        <f ca="1">IF(ISERROR($V188),"",OFFSET('Smelter Look-up'!$G$4,$V188-4,0))</f>
        <v/>
      </c>
      <c r="I188" s="350" t="s">
        <v>15527</v>
      </c>
      <c r="J188" s="350" t="s">
        <v>13183</v>
      </c>
      <c r="K188" s="273"/>
      <c r="L188" s="273"/>
      <c r="M188" s="273"/>
      <c r="N188" s="273"/>
      <c r="O188" s="273"/>
      <c r="P188" s="220"/>
      <c r="Q188" s="274"/>
      <c r="R188" s="217" t="str">
        <f ca="1">IF(ISERROR($V188),"",OFFSET('Smelter Look-up'!$C$4,$V188-4,0)&amp;"")</f>
        <v/>
      </c>
      <c r="S188" s="225" t="str">
        <f t="shared" ca="1" si="24"/>
        <v>ID</v>
      </c>
      <c r="T188" s="225" t="str">
        <f ca="1">IF(B188="","",IF(ISERROR(MATCH($J188,SorP!$B$1:$B$6230,0)),"",INDIRECT("'SorP'!$A$"&amp;MATCH($J188,SorP!$B$1:$B$6230,0))))</f>
        <v>ID-BB</v>
      </c>
      <c r="U188" s="241"/>
      <c r="V188" s="275" t="e">
        <f>IF(C188="",NA(),MATCH($B188&amp;$C188,'Smelter Look-up'!$J:$J,0))</f>
        <v>#N/A</v>
      </c>
      <c r="W188" s="276"/>
      <c r="X188" s="276">
        <f t="shared" si="25"/>
        <v>0</v>
      </c>
      <c r="Y188" s="276"/>
      <c r="Z188" s="276"/>
      <c r="AB188" s="278" t="str">
        <f t="shared" si="26"/>
        <v>TinCV Dua Sekawan</v>
      </c>
    </row>
    <row r="189" spans="1:28" s="277" customFormat="1" ht="38.25">
      <c r="A189" s="216" t="s">
        <v>15565</v>
      </c>
      <c r="B189" s="217" t="s">
        <v>1154</v>
      </c>
      <c r="C189" s="348" t="s">
        <v>15566</v>
      </c>
      <c r="D189" s="283"/>
      <c r="E189" s="217" t="s">
        <v>1128</v>
      </c>
      <c r="F189" s="217" t="s">
        <v>15565</v>
      </c>
      <c r="G189" s="217" t="s">
        <v>13577</v>
      </c>
      <c r="H189" s="218" t="str">
        <f ca="1">IF(ISERROR($V189),"",OFFSET('Smelter Look-up'!$G$4,$V189-4,0))</f>
        <v/>
      </c>
      <c r="I189" s="350" t="s">
        <v>1805</v>
      </c>
      <c r="J189" s="350" t="s">
        <v>13183</v>
      </c>
      <c r="K189" s="273"/>
      <c r="L189" s="273"/>
      <c r="M189" s="273"/>
      <c r="N189" s="273"/>
      <c r="O189" s="273"/>
      <c r="P189" s="220"/>
      <c r="Q189" s="274"/>
      <c r="R189" s="217" t="str">
        <f ca="1">IF(ISERROR($V189),"",OFFSET('Smelter Look-up'!$C$4,$V189-4,0)&amp;"")</f>
        <v/>
      </c>
      <c r="S189" s="225" t="str">
        <f t="shared" ca="1" si="24"/>
        <v>ID</v>
      </c>
      <c r="T189" s="225" t="str">
        <f ca="1">IF(B189="","",IF(ISERROR(MATCH($J189,SorP!$B$1:$B$6230,0)),"",INDIRECT("'SorP'!$A$"&amp;MATCH($J189,SorP!$B$1:$B$6230,0))))</f>
        <v>ID-BB</v>
      </c>
      <c r="U189" s="241"/>
      <c r="V189" s="275" t="e">
        <f>IF(C189="",NA(),MATCH($B189&amp;$C189,'Smelter Look-up'!$J:$J,0))</f>
        <v>#N/A</v>
      </c>
      <c r="W189" s="276"/>
      <c r="X189" s="276">
        <f t="shared" si="25"/>
        <v>0</v>
      </c>
      <c r="Y189" s="276"/>
      <c r="Z189" s="276"/>
      <c r="AB189" s="278" t="str">
        <f t="shared" si="26"/>
        <v>TinCV Gita Pesona</v>
      </c>
    </row>
    <row r="190" spans="1:28" s="277" customFormat="1" ht="63.75">
      <c r="A190" s="216" t="s">
        <v>15567</v>
      </c>
      <c r="B190" s="217" t="s">
        <v>1154</v>
      </c>
      <c r="C190" s="348" t="s">
        <v>15568</v>
      </c>
      <c r="D190" s="283"/>
      <c r="E190" s="217" t="s">
        <v>1128</v>
      </c>
      <c r="F190" s="217" t="s">
        <v>15567</v>
      </c>
      <c r="G190" s="217" t="s">
        <v>13577</v>
      </c>
      <c r="H190" s="218" t="str">
        <f ca="1">IF(ISERROR($V190),"",OFFSET('Smelter Look-up'!$G$4,$V190-4,0))</f>
        <v/>
      </c>
      <c r="I190" s="350" t="s">
        <v>15569</v>
      </c>
      <c r="J190" s="350" t="s">
        <v>13183</v>
      </c>
      <c r="K190" s="273"/>
      <c r="L190" s="273"/>
      <c r="M190" s="273"/>
      <c r="N190" s="273"/>
      <c r="O190" s="273"/>
      <c r="P190" s="220"/>
      <c r="Q190" s="274"/>
      <c r="R190" s="217" t="str">
        <f ca="1">IF(ISERROR($V190),"",OFFSET('Smelter Look-up'!$C$4,$V190-4,0)&amp;"")</f>
        <v/>
      </c>
      <c r="S190" s="225" t="str">
        <f t="shared" ca="1" si="24"/>
        <v>ID</v>
      </c>
      <c r="T190" s="225" t="str">
        <f ca="1">IF(B190="","",IF(ISERROR(MATCH($J190,SorP!$B$1:$B$6230,0)),"",INDIRECT("'SorP'!$A$"&amp;MATCH($J190,SorP!$B$1:$B$6230,0))))</f>
        <v>ID-BB</v>
      </c>
      <c r="U190" s="241"/>
      <c r="V190" s="275" t="e">
        <f>IF(C190="",NA(),MATCH($B190&amp;$C190,'Smelter Look-up'!$J:$J,0))</f>
        <v>#N/A</v>
      </c>
      <c r="W190" s="276"/>
      <c r="X190" s="276">
        <f t="shared" si="25"/>
        <v>0</v>
      </c>
      <c r="Y190" s="276"/>
      <c r="Z190" s="276"/>
      <c r="AB190" s="278" t="str">
        <f t="shared" si="26"/>
        <v>TinPT Premium Tin Indonesia</v>
      </c>
    </row>
    <row r="191" spans="1:28" s="277" customFormat="1" ht="20.25">
      <c r="A191" s="216" t="s">
        <v>1433</v>
      </c>
      <c r="B191" s="217" t="str">
        <f ca="1">IF(LEN(A191)=0,"",INDEX('Smelter Look-up'!$A:$A,MATCH($A191,'Smelter Look-up'!$E:$E,0)))</f>
        <v>Tin</v>
      </c>
      <c r="C191" s="221" t="str">
        <f ca="1">IF(LEN(A191)=0,"",INDEX('Smelter Look-up'!$C:$C,MATCH($A191,'Smelter Look-up'!$E:$E,0)))</f>
        <v>Dowa</v>
      </c>
      <c r="D191" s="283"/>
      <c r="E191" s="217" t="str">
        <f ca="1">IF(ISERROR($V191),"",OFFSET('Smelter Look-up'!$D$4,$V191-4,0)&amp;"")</f>
        <v>JAPAN</v>
      </c>
      <c r="F191" s="217" t="str">
        <f ca="1">IF(ISERROR($V191),"",OFFSET('Smelter Look-up'!$E$4,$V191-4,0))</f>
        <v>CID000402</v>
      </c>
      <c r="G191" s="217" t="str">
        <f ca="1">IF(C191=$X$4,"Enter smelter details",IF(ISERROR($V191),"",OFFSET('Smelter Look-up'!$F$4,$V191-4,0)))</f>
        <v>RMI</v>
      </c>
      <c r="H191" s="218">
        <f ca="1">IF(ISERROR($V191),"",OFFSET('Smelter Look-up'!$G$4,$V191-4,0))</f>
        <v>0</v>
      </c>
      <c r="I191" s="219" t="str">
        <f ca="1">IF(ISERROR($V191),"",OFFSET('Smelter Look-up'!$H$4,$V191-4,0))</f>
        <v>Kosaka</v>
      </c>
      <c r="J191" s="219" t="str">
        <f ca="1">IF(ISERROR($V191),"",OFFSET('Smelter Look-up'!$I$4,$V191-4,0))</f>
        <v>Akita</v>
      </c>
      <c r="K191" s="273"/>
      <c r="L191" s="273"/>
      <c r="M191" s="273"/>
      <c r="N191" s="273"/>
      <c r="O191" s="273"/>
      <c r="P191" s="220"/>
      <c r="Q191" s="274"/>
      <c r="R191" s="217" t="str">
        <f ca="1">IF(ISERROR($V191),"",OFFSET('Smelter Look-up'!$C$4,$V191-4,0)&amp;"")</f>
        <v>Dowa</v>
      </c>
      <c r="S191" s="225" t="str">
        <f t="shared" ca="1" si="24"/>
        <v>JP</v>
      </c>
      <c r="T191" s="225" t="str">
        <f ca="1">IF(B191="","",IF(ISERROR(MATCH($J191,SorP!$B$1:$B$6230,0)),"",INDIRECT("'SorP'!$A$"&amp;MATCH($J191,SorP!$B$1:$B$6230,0))))</f>
        <v>JP-05</v>
      </c>
      <c r="U191" s="241"/>
      <c r="V191" s="275">
        <f ca="1">IF(C191="",NA(),MATCH($B191&amp;$C191,'Smelter Look-up'!$J:$J,0))</f>
        <v>374</v>
      </c>
      <c r="W191" s="276"/>
      <c r="X191" s="276">
        <f t="shared" ca="1" si="25"/>
        <v>0</v>
      </c>
      <c r="Y191" s="276"/>
      <c r="Z191" s="276"/>
      <c r="AB191" s="278" t="str">
        <f t="shared" ca="1" si="26"/>
        <v>TinDowa</v>
      </c>
    </row>
    <row r="192" spans="1:28" s="277" customFormat="1" ht="89.25">
      <c r="A192" s="216" t="s">
        <v>15570</v>
      </c>
      <c r="B192" s="217" t="s">
        <v>1154</v>
      </c>
      <c r="C192" s="348" t="s">
        <v>15571</v>
      </c>
      <c r="D192" s="283"/>
      <c r="E192" s="217" t="s">
        <v>1123</v>
      </c>
      <c r="F192" s="217" t="s">
        <v>15570</v>
      </c>
      <c r="G192" s="217" t="s">
        <v>13577</v>
      </c>
      <c r="H192" s="218" t="str">
        <f ca="1">IF(ISERROR($V192),"",OFFSET('Smelter Look-up'!$G$4,$V192-4,0))</f>
        <v/>
      </c>
      <c r="I192" s="350" t="s">
        <v>2590</v>
      </c>
      <c r="J192" s="350" t="s">
        <v>13975</v>
      </c>
      <c r="K192" s="273"/>
      <c r="L192" s="273"/>
      <c r="M192" s="273"/>
      <c r="N192" s="273"/>
      <c r="O192" s="273"/>
      <c r="P192" s="220"/>
      <c r="Q192" s="274"/>
      <c r="R192" s="217" t="str">
        <f ca="1">IF(ISERROR($V192),"",OFFSET('Smelter Look-up'!$C$4,$V192-4,0)&amp;"")</f>
        <v/>
      </c>
      <c r="S192" s="225" t="str">
        <f t="shared" ca="1" si="24"/>
        <v>CN</v>
      </c>
      <c r="T192" s="225" t="str">
        <f ca="1">IF(B192="","",IF(ISERROR(MATCH($J192,SorP!$B$1:$B$6230,0)),"",INDIRECT("'SorP'!$A$"&amp;MATCH($J192,SorP!$B$1:$B$6230,0))))</f>
        <v>CN-YN</v>
      </c>
      <c r="U192" s="241"/>
      <c r="V192" s="275" t="e">
        <f>IF(C192="",NA(),MATCH($B192&amp;$C192,'Smelter Look-up'!$J:$J,0))</f>
        <v>#N/A</v>
      </c>
      <c r="W192" s="276"/>
      <c r="X192" s="276">
        <f t="shared" si="25"/>
        <v>0</v>
      </c>
      <c r="Y192" s="276"/>
      <c r="Z192" s="276"/>
      <c r="AB192" s="278" t="str">
        <f t="shared" si="26"/>
        <v>TinGejiu Fengming Metallurgy Chemical Plant</v>
      </c>
    </row>
    <row r="193" spans="1:28" s="277" customFormat="1" ht="89.25">
      <c r="A193" s="216" t="s">
        <v>790</v>
      </c>
      <c r="B193" s="217" t="str">
        <f ca="1">IF(LEN(A193)=0,"",INDEX('Smelter Look-up'!$A:$A,MATCH($A193,'Smelter Look-up'!$E:$E,0)))</f>
        <v>Tin</v>
      </c>
      <c r="C193" s="221" t="str">
        <f ca="1">IF(LEN(A193)=0,"",INDEX('Smelter Look-up'!$C:$C,MATCH($A193,'Smelter Look-up'!$E:$E,0)))</f>
        <v>Gejiu Kai Meng Industry and Trade LLC</v>
      </c>
      <c r="D193" s="283"/>
      <c r="E193" s="217" t="str">
        <f ca="1">IF(ISERROR($V193),"",OFFSET('Smelter Look-up'!$D$4,$V193-4,0)&amp;"")</f>
        <v>CHINA</v>
      </c>
      <c r="F193" s="217" t="str">
        <f ca="1">IF(ISERROR($V193),"",OFFSET('Smelter Look-up'!$E$4,$V193-4,0))</f>
        <v>CID000942</v>
      </c>
      <c r="G193" s="217" t="str">
        <f ca="1">IF(C193=$X$4,"Enter smelter details",IF(ISERROR($V193),"",OFFSET('Smelter Look-up'!$F$4,$V193-4,0)))</f>
        <v>RMI</v>
      </c>
      <c r="H193" s="218">
        <f ca="1">IF(ISERROR($V193),"",OFFSET('Smelter Look-up'!$G$4,$V193-4,0))</f>
        <v>0</v>
      </c>
      <c r="I193" s="219" t="str">
        <f ca="1">IF(ISERROR($V193),"",OFFSET('Smelter Look-up'!$H$4,$V193-4,0))</f>
        <v>Gejiu</v>
      </c>
      <c r="J193" s="219" t="str">
        <f ca="1">IF(ISERROR($V193),"",OFFSET('Smelter Look-up'!$I$4,$V193-4,0))</f>
        <v>Yunnan Sheng</v>
      </c>
      <c r="K193" s="273"/>
      <c r="L193" s="273"/>
      <c r="M193" s="273"/>
      <c r="N193" s="273"/>
      <c r="O193" s="273"/>
      <c r="P193" s="220"/>
      <c r="Q193" s="274"/>
      <c r="R193" s="217" t="str">
        <f ca="1">IF(ISERROR($V193),"",OFFSET('Smelter Look-up'!$C$4,$V193-4,0)&amp;"")</f>
        <v>Gejiu Kai Meng Industry and Trade LLC</v>
      </c>
      <c r="S193" s="225" t="str">
        <f t="shared" ca="1" si="24"/>
        <v>CN</v>
      </c>
      <c r="T193" s="225" t="str">
        <f ca="1">IF(B193="","",IF(ISERROR(MATCH($J193,SorP!$B$1:$B$6230,0)),"",INDIRECT("'SorP'!$A$"&amp;MATCH($J193,SorP!$B$1:$B$6230,0))))</f>
        <v>CN-YN</v>
      </c>
      <c r="U193" s="241"/>
      <c r="V193" s="275">
        <f ca="1">IF(C193="",NA(),MATCH($B193&amp;$C193,'Smelter Look-up'!$J:$J,0))</f>
        <v>388</v>
      </c>
      <c r="W193" s="276"/>
      <c r="X193" s="276">
        <f t="shared" ca="1" si="25"/>
        <v>0</v>
      </c>
      <c r="Y193" s="276"/>
      <c r="Z193" s="276"/>
      <c r="AB193" s="278" t="str">
        <f t="shared" ca="1" si="26"/>
        <v>TinGejiu Kai Meng Industry and Trade LLC</v>
      </c>
    </row>
    <row r="194" spans="1:28" s="277" customFormat="1" ht="89.25">
      <c r="A194" s="216" t="s">
        <v>788</v>
      </c>
      <c r="B194" s="217" t="str">
        <f ca="1">IF(LEN(A194)=0,"",INDEX('Smelter Look-up'!$A:$A,MATCH($A194,'Smelter Look-up'!$E:$E,0)))</f>
        <v>Tin</v>
      </c>
      <c r="C194" s="221" t="str">
        <f ca="1">IF(LEN(A194)=0,"",INDEX('Smelter Look-up'!$C:$C,MATCH($A194,'Smelter Look-up'!$E:$E,0)))</f>
        <v>Gejiu Zili Mining And Metallurgy Co., Ltd.</v>
      </c>
      <c r="D194" s="283"/>
      <c r="E194" s="217" t="str">
        <f ca="1">IF(ISERROR($V194),"",OFFSET('Smelter Look-up'!$D$4,$V194-4,0)&amp;"")</f>
        <v>CHINA</v>
      </c>
      <c r="F194" s="217" t="str">
        <f ca="1">IF(ISERROR($V194),"",OFFSET('Smelter Look-up'!$E$4,$V194-4,0))</f>
        <v>CID000555</v>
      </c>
      <c r="G194" s="217" t="str">
        <f ca="1">IF(C194=$X$4,"Enter smelter details",IF(ISERROR($V194),"",OFFSET('Smelter Look-up'!$F$4,$V194-4,0)))</f>
        <v>RMI</v>
      </c>
      <c r="H194" s="218">
        <f ca="1">IF(ISERROR($V194),"",OFFSET('Smelter Look-up'!$G$4,$V194-4,0))</f>
        <v>0</v>
      </c>
      <c r="I194" s="219" t="str">
        <f ca="1">IF(ISERROR($V194),"",OFFSET('Smelter Look-up'!$H$4,$V194-4,0))</f>
        <v>Gejiu</v>
      </c>
      <c r="J194" s="219" t="str">
        <f ca="1">IF(ISERROR($V194),"",OFFSET('Smelter Look-up'!$I$4,$V194-4,0))</f>
        <v>Yunnan Sheng</v>
      </c>
      <c r="K194" s="273"/>
      <c r="L194" s="273"/>
      <c r="M194" s="273"/>
      <c r="N194" s="273"/>
      <c r="O194" s="273"/>
      <c r="P194" s="220"/>
      <c r="Q194" s="274"/>
      <c r="R194" s="217" t="str">
        <f ca="1">IF(ISERROR($V194),"",OFFSET('Smelter Look-up'!$C$4,$V194-4,0)&amp;"")</f>
        <v>Gejiu Zili Mining And Metallurgy Co., Ltd.</v>
      </c>
      <c r="S194" s="225" t="str">
        <f t="shared" ca="1" si="24"/>
        <v>CN</v>
      </c>
      <c r="T194" s="225" t="str">
        <f ca="1">IF(B194="","",IF(ISERROR(MATCH($J194,SorP!$B$1:$B$6230,0)),"",INDIRECT("'SorP'!$A$"&amp;MATCH($J194,SorP!$B$1:$B$6230,0))))</f>
        <v>CN-YN</v>
      </c>
      <c r="U194" s="241"/>
      <c r="V194" s="275">
        <f ca="1">IF(C194="",NA(),MATCH($B194&amp;$C194,'Smelter Look-up'!$J:$J,0))</f>
        <v>392</v>
      </c>
      <c r="W194" s="276"/>
      <c r="X194" s="276">
        <f t="shared" ca="1" si="25"/>
        <v>0</v>
      </c>
      <c r="Y194" s="276"/>
      <c r="Z194" s="276"/>
      <c r="AB194" s="278" t="str">
        <f t="shared" ca="1" si="26"/>
        <v>TinGejiu Zili Mining And Metallurgy Co., Ltd.</v>
      </c>
    </row>
    <row r="195" spans="1:28" s="277" customFormat="1" ht="89.25">
      <c r="A195" s="216" t="s">
        <v>2379</v>
      </c>
      <c r="B195" s="217" t="str">
        <f ca="1">IF(LEN(A195)=0,"",INDEX('Smelter Look-up'!$A:$A,MATCH($A195,'Smelter Look-up'!$E:$E,0)))</f>
        <v>Tin</v>
      </c>
      <c r="C195" s="221" t="str">
        <f ca="1">IF(LEN(A195)=0,"",INDEX('Smelter Look-up'!$C:$C,MATCH($A195,'Smelter Look-up'!$E:$E,0)))</f>
        <v>Guanyang Guida Nonferrous Metal Smelting Plant</v>
      </c>
      <c r="D195" s="283"/>
      <c r="E195" s="217" t="str">
        <f ca="1">IF(ISERROR($V195),"",OFFSET('Smelter Look-up'!$D$4,$V195-4,0)&amp;"")</f>
        <v>CHINA</v>
      </c>
      <c r="F195" s="217" t="str">
        <f ca="1">IF(ISERROR($V195),"",OFFSET('Smelter Look-up'!$E$4,$V195-4,0))</f>
        <v>CID002849</v>
      </c>
      <c r="G195" s="217" t="str">
        <f ca="1">IF(C195=$X$4,"Enter smelter details",IF(ISERROR($V195),"",OFFSET('Smelter Look-up'!$F$4,$V195-4,0)))</f>
        <v>RMI</v>
      </c>
      <c r="H195" s="218">
        <f ca="1">IF(ISERROR($V195),"",OFFSET('Smelter Look-up'!$G$4,$V195-4,0))</f>
        <v>0</v>
      </c>
      <c r="I195" s="219" t="str">
        <f ca="1">IF(ISERROR($V195),"",OFFSET('Smelter Look-up'!$H$4,$V195-4,0))</f>
        <v>Guanyang</v>
      </c>
      <c r="J195" s="219" t="str">
        <f ca="1">IF(ISERROR($V195),"",OFFSET('Smelter Look-up'!$I$4,$V195-4,0))</f>
        <v>Guangxi Zhuangzu Zizhiqu</v>
      </c>
      <c r="K195" s="273"/>
      <c r="L195" s="273"/>
      <c r="M195" s="273"/>
      <c r="N195" s="273"/>
      <c r="O195" s="273"/>
      <c r="P195" s="220"/>
      <c r="Q195" s="274"/>
      <c r="R195" s="217" t="str">
        <f ca="1">IF(ISERROR($V195),"",OFFSET('Smelter Look-up'!$C$4,$V195-4,0)&amp;"")</f>
        <v>Guanyang Guida Nonferrous Metal Smelting Plant</v>
      </c>
      <c r="S195" s="225" t="str">
        <f t="shared" ca="1" si="24"/>
        <v>CN</v>
      </c>
      <c r="T195" s="225" t="str">
        <f ca="1">IF(B195="","",IF(ISERROR(MATCH($J195,SorP!$B$1:$B$6230,0)),"",INDIRECT("'SorP'!$A$"&amp;MATCH($J195,SorP!$B$1:$B$6230,0))))</f>
        <v>CN-GX</v>
      </c>
      <c r="U195" s="241"/>
      <c r="V195" s="275">
        <f ca="1">IF(C195="",NA(),MATCH($B195&amp;$C195,'Smelter Look-up'!$J:$J,0))</f>
        <v>398</v>
      </c>
      <c r="W195" s="276"/>
      <c r="X195" s="276">
        <f t="shared" ca="1" si="25"/>
        <v>0</v>
      </c>
      <c r="Y195" s="276"/>
      <c r="Z195" s="276"/>
      <c r="AB195" s="278" t="str">
        <f t="shared" ca="1" si="26"/>
        <v>TinGuanyang Guida Nonferrous Metal Smelting Plant</v>
      </c>
    </row>
    <row r="196" spans="1:28" s="277" customFormat="1" ht="76.5">
      <c r="A196" s="216" t="s">
        <v>2402</v>
      </c>
      <c r="B196" s="217" t="str">
        <f ca="1">IF(LEN(A196)=0,"",INDEX('Smelter Look-up'!$A:$A,MATCH($A196,'Smelter Look-up'!$E:$E,0)))</f>
        <v>Tin</v>
      </c>
      <c r="C196" s="221" t="str">
        <f ca="1">IF(LEN(A196)=0,"",INDEX('Smelter Look-up'!$C:$C,MATCH($A196,'Smelter Look-up'!$E:$E,0)))</f>
        <v>HuiChang Hill Tin Industry Co., Ltd.</v>
      </c>
      <c r="D196" s="283"/>
      <c r="E196" s="217" t="str">
        <f ca="1">IF(ISERROR($V196),"",OFFSET('Smelter Look-up'!$D$4,$V196-4,0)&amp;"")</f>
        <v>CHINA</v>
      </c>
      <c r="F196" s="217" t="str">
        <f ca="1">IF(ISERROR($V196),"",OFFSET('Smelter Look-up'!$E$4,$V196-4,0))</f>
        <v>CID002844</v>
      </c>
      <c r="G196" s="217" t="str">
        <f ca="1">IF(C196=$X$4,"Enter smelter details",IF(ISERROR($V196),"",OFFSET('Smelter Look-up'!$F$4,$V196-4,0)))</f>
        <v>RMI</v>
      </c>
      <c r="H196" s="218">
        <f ca="1">IF(ISERROR($V196),"",OFFSET('Smelter Look-up'!$G$4,$V196-4,0))</f>
        <v>0</v>
      </c>
      <c r="I196" s="219" t="str">
        <f ca="1">IF(ISERROR($V196),"",OFFSET('Smelter Look-up'!$H$4,$V196-4,0))</f>
        <v>Ganzhou</v>
      </c>
      <c r="J196" s="219" t="str">
        <f ca="1">IF(ISERROR($V196),"",OFFSET('Smelter Look-up'!$I$4,$V196-4,0))</f>
        <v>Jiangxi Sheng</v>
      </c>
      <c r="K196" s="273"/>
      <c r="L196" s="273"/>
      <c r="M196" s="273"/>
      <c r="N196" s="273"/>
      <c r="O196" s="273"/>
      <c r="P196" s="220"/>
      <c r="Q196" s="274"/>
      <c r="R196" s="217" t="str">
        <f ca="1">IF(ISERROR($V196),"",OFFSET('Smelter Look-up'!$C$4,$V196-4,0)&amp;"")</f>
        <v>HuiChang Hill Tin Industry Co., Ltd.</v>
      </c>
      <c r="S196" s="225" t="str">
        <f t="shared" ca="1" si="24"/>
        <v>CN</v>
      </c>
      <c r="T196" s="225" t="str">
        <f ca="1">IF(B196="","",IF(ISERROR(MATCH($J196,SorP!$B$1:$B$6230,0)),"",INDIRECT("'SorP'!$A$"&amp;MATCH($J196,SorP!$B$1:$B$6230,0))))</f>
        <v>CN-JX</v>
      </c>
      <c r="U196" s="241"/>
      <c r="V196" s="275">
        <f ca="1">IF(C196="",NA(),MATCH($B196&amp;$C196,'Smelter Look-up'!$J:$J,0))</f>
        <v>399</v>
      </c>
      <c r="W196" s="276"/>
      <c r="X196" s="276">
        <f t="shared" ca="1" si="25"/>
        <v>0</v>
      </c>
      <c r="Y196" s="276"/>
      <c r="Z196" s="276"/>
      <c r="AB196" s="278" t="str">
        <f t="shared" ca="1" si="26"/>
        <v>TinHuiChang Hill Tin Industry Co., Ltd.</v>
      </c>
    </row>
    <row r="197" spans="1:28" s="277" customFormat="1" ht="76.5">
      <c r="A197" s="216" t="s">
        <v>789</v>
      </c>
      <c r="B197" s="217" t="str">
        <f ca="1">IF(LEN(A197)=0,"",INDEX('Smelter Look-up'!$A:$A,MATCH($A197,'Smelter Look-up'!$E:$E,0)))</f>
        <v>Tin</v>
      </c>
      <c r="C197" s="221" t="str">
        <f ca="1">IF(LEN(A197)=0,"",INDEX('Smelter Look-up'!$C:$C,MATCH($A197,'Smelter Look-up'!$E:$E,0)))</f>
        <v>Huichang Jinshunda Tin Co., Ltd.</v>
      </c>
      <c r="D197" s="283"/>
      <c r="E197" s="217" t="str">
        <f ca="1">IF(ISERROR($V197),"",OFFSET('Smelter Look-up'!$D$4,$V197-4,0)&amp;"")</f>
        <v>CHINA</v>
      </c>
      <c r="F197" s="217" t="str">
        <f ca="1">IF(ISERROR($V197),"",OFFSET('Smelter Look-up'!$E$4,$V197-4,0))</f>
        <v>CID000760</v>
      </c>
      <c r="G197" s="217" t="str">
        <f ca="1">IF(C197=$X$4,"Enter smelter details",IF(ISERROR($V197),"",OFFSET('Smelter Look-up'!$F$4,$V197-4,0)))</f>
        <v>RMI</v>
      </c>
      <c r="H197" s="218">
        <f ca="1">IF(ISERROR($V197),"",OFFSET('Smelter Look-up'!$G$4,$V197-4,0))</f>
        <v>0</v>
      </c>
      <c r="I197" s="219" t="str">
        <f ca="1">IF(ISERROR($V197),"",OFFSET('Smelter Look-up'!$H$4,$V197-4,0))</f>
        <v>Ganzhou</v>
      </c>
      <c r="J197" s="219" t="str">
        <f ca="1">IF(ISERROR($V197),"",OFFSET('Smelter Look-up'!$I$4,$V197-4,0))</f>
        <v>Jiangxi Sheng</v>
      </c>
      <c r="K197" s="273"/>
      <c r="L197" s="273"/>
      <c r="M197" s="273"/>
      <c r="N197" s="273"/>
      <c r="O197" s="273"/>
      <c r="P197" s="220"/>
      <c r="Q197" s="274"/>
      <c r="R197" s="217" t="str">
        <f ca="1">IF(ISERROR($V197),"",OFFSET('Smelter Look-up'!$C$4,$V197-4,0)&amp;"")</f>
        <v>Huichang Jinshunda Tin Co., Ltd.</v>
      </c>
      <c r="S197" s="225" t="str">
        <f t="shared" ref="S197" ca="1" si="27">IF(B197="","",IF(ISERROR(MATCH($E197,CL,0)),"Unknown",INDIRECT("'C'!$A$"&amp;MATCH($E197,CL,0)+1)))</f>
        <v>CN</v>
      </c>
      <c r="T197" s="225" t="str">
        <f ca="1">IF(B197="","",IF(ISERROR(MATCH($J197,SorP!$B$1:$B$6230,0)),"",INDIRECT("'SorP'!$A$"&amp;MATCH($J197,SorP!$B$1:$B$6230,0))))</f>
        <v>CN-JX</v>
      </c>
      <c r="U197" s="241"/>
      <c r="V197" s="275">
        <f ca="1">IF(C197="",NA(),MATCH($B197&amp;$C197,'Smelter Look-up'!$J:$J,0))</f>
        <v>400</v>
      </c>
      <c r="W197" s="276"/>
      <c r="X197" s="276">
        <f t="shared" ref="X197" ca="1" si="28">IF(AND(C197="Smelter not listed",OR(LEN(D197)=0,LEN(E197)=0)),1,0)</f>
        <v>0</v>
      </c>
      <c r="Y197" s="276"/>
      <c r="Z197" s="276"/>
      <c r="AB197" s="278" t="str">
        <f t="shared" ref="AB197" ca="1" si="29">B197&amp;C197</f>
        <v>TinHuichang Jinshunda Tin Co., Ltd.</v>
      </c>
    </row>
    <row r="198" spans="1:28" s="277" customFormat="1" ht="38.25">
      <c r="A198" s="216" t="s">
        <v>2474</v>
      </c>
      <c r="B198" s="217" t="str">
        <f ca="1">IF(LEN(A198)=0,"",INDEX('Smelter Look-up'!$A:$A,MATCH($A198,'Smelter Look-up'!$E:$E,0)))</f>
        <v>Tin</v>
      </c>
      <c r="C198" s="221" t="str">
        <f ca="1">IF(LEN(A198)=0,"",INDEX('Smelter Look-up'!$C:$C,MATCH($A198,'Smelter Look-up'!$E:$E,0)))</f>
        <v>Modeltech Sdn Bhd</v>
      </c>
      <c r="D198" s="283"/>
      <c r="E198" s="217" t="str">
        <f ca="1">IF(ISERROR($V198),"",OFFSET('Smelter Look-up'!$D$4,$V198-4,0)&amp;"")</f>
        <v>MALAYSIA</v>
      </c>
      <c r="F198" s="217" t="str">
        <f ca="1">IF(ISERROR($V198),"",OFFSET('Smelter Look-up'!$E$4,$V198-4,0))</f>
        <v>CID002858</v>
      </c>
      <c r="G198" s="217" t="str">
        <f ca="1">IF(C198=$X$4,"Enter smelter details",IF(ISERROR($V198),"",OFFSET('Smelter Look-up'!$F$4,$V198-4,0)))</f>
        <v>RMI</v>
      </c>
      <c r="H198" s="218">
        <f ca="1">IF(ISERROR($V198),"",OFFSET('Smelter Look-up'!$G$4,$V198-4,0))</f>
        <v>0</v>
      </c>
      <c r="I198" s="219" t="str">
        <f ca="1">IF(ISERROR($V198),"",OFFSET('Smelter Look-up'!$H$4,$V198-4,0))</f>
        <v>Kawasan Perindustrian Bukit Rambai</v>
      </c>
      <c r="J198" s="219" t="str">
        <f ca="1">IF(ISERROR($V198),"",OFFSET('Smelter Look-up'!$I$4,$V198-4,0))</f>
        <v>Melaka</v>
      </c>
      <c r="K198" s="273"/>
      <c r="L198" s="273"/>
      <c r="M198" s="273"/>
      <c r="N198" s="273"/>
      <c r="O198" s="273"/>
      <c r="P198" s="220"/>
      <c r="Q198" s="274"/>
      <c r="R198" s="217" t="str">
        <f ca="1">IF(ISERROR($V198),"",OFFSET('Smelter Look-up'!$C$4,$V198-4,0)&amp;"")</f>
        <v>Modeltech Sdn Bhd</v>
      </c>
      <c r="S198" s="225" t="str">
        <f t="shared" ref="S198:S229" ca="1" si="30">IF(B198="","",IF(ISERROR(MATCH($E198,CL,0)),"Unknown",INDIRECT("'C'!$A$"&amp;MATCH($E198,CL,0)+1)))</f>
        <v>MY</v>
      </c>
      <c r="T198" s="225" t="str">
        <f ca="1">IF(B198="","",IF(ISERROR(MATCH($J198,SorP!$B$1:$B$6230,0)),"",INDIRECT("'SorP'!$A$"&amp;MATCH($J198,SorP!$B$1:$B$6230,0))))</f>
        <v>MY-04</v>
      </c>
      <c r="U198" s="241"/>
      <c r="V198" s="275">
        <f ca="1">IF(C198="",NA(),MATCH($B198&amp;$C198,'Smelter Look-up'!$J:$J,0))</f>
        <v>426</v>
      </c>
      <c r="W198" s="276"/>
      <c r="X198" s="276">
        <f t="shared" ref="X198:X229" ca="1" si="31">IF(AND(C198="Smelter not listed",OR(LEN(D198)=0,LEN(E198)=0)),1,0)</f>
        <v>0</v>
      </c>
      <c r="Y198" s="276"/>
      <c r="Z198" s="276"/>
      <c r="AB198" s="278" t="str">
        <f t="shared" ref="AB198:AB229" ca="1" si="32">B198&amp;C198</f>
        <v>TinModeltech Sdn Bhd</v>
      </c>
    </row>
    <row r="199" spans="1:28" s="277" customFormat="1" ht="63.75">
      <c r="A199" s="216" t="s">
        <v>1828</v>
      </c>
      <c r="B199" s="217" t="str">
        <f ca="1">IF(LEN(A199)=0,"",INDEX('Smelter Look-up'!$A:$A,MATCH($A199,'Smelter Look-up'!$E:$E,0)))</f>
        <v>Tin</v>
      </c>
      <c r="C199" s="221" t="str">
        <f ca="1">IF(LEN(A199)=0,"",INDEX('Smelter Look-up'!$C:$C,MATCH($A199,'Smelter Look-up'!$E:$E,0)))</f>
        <v>Jiangxi New Nanshan Technology Ltd.</v>
      </c>
      <c r="D199" s="283"/>
      <c r="E199" s="217" t="str">
        <f ca="1">IF(ISERROR($V199),"",OFFSET('Smelter Look-up'!$D$4,$V199-4,0)&amp;"")</f>
        <v>CHINA</v>
      </c>
      <c r="F199" s="217" t="str">
        <f ca="1">IF(ISERROR($V199),"",OFFSET('Smelter Look-up'!$E$4,$V199-4,0))</f>
        <v>CID001231</v>
      </c>
      <c r="G199" s="217" t="str">
        <f ca="1">IF(C199=$X$4,"Enter smelter details",IF(ISERROR($V199),"",OFFSET('Smelter Look-up'!$F$4,$V199-4,0)))</f>
        <v>RMI</v>
      </c>
      <c r="H199" s="218">
        <f ca="1">IF(ISERROR($V199),"",OFFSET('Smelter Look-up'!$G$4,$V199-4,0))</f>
        <v>0</v>
      </c>
      <c r="I199" s="219" t="str">
        <f ca="1">IF(ISERROR($V199),"",OFFSET('Smelter Look-up'!$H$4,$V199-4,0))</f>
        <v>Ganzhou</v>
      </c>
      <c r="J199" s="219" t="str">
        <f ca="1">IF(ISERROR($V199),"",OFFSET('Smelter Look-up'!$I$4,$V199-4,0))</f>
        <v>Jiangxi Sheng</v>
      </c>
      <c r="K199" s="273"/>
      <c r="L199" s="273"/>
      <c r="M199" s="273"/>
      <c r="N199" s="273"/>
      <c r="O199" s="273"/>
      <c r="P199" s="220"/>
      <c r="Q199" s="274"/>
      <c r="R199" s="217" t="str">
        <f ca="1">IF(ISERROR($V199),"",OFFSET('Smelter Look-up'!$C$4,$V199-4,0)&amp;"")</f>
        <v>Jiangxi New Nanshan Technology Ltd.</v>
      </c>
      <c r="S199" s="225" t="str">
        <f t="shared" ca="1" si="30"/>
        <v>CN</v>
      </c>
      <c r="T199" s="225" t="str">
        <f ca="1">IF(B199="","",IF(ISERROR(MATCH($J199,SorP!$B$1:$B$6230,0)),"",INDIRECT("'SorP'!$A$"&amp;MATCH($J199,SorP!$B$1:$B$6230,0))))</f>
        <v>CN-JX</v>
      </c>
      <c r="U199" s="241"/>
      <c r="V199" s="275">
        <f ca="1">IF(C199="",NA(),MATCH($B199&amp;$C199,'Smelter Look-up'!$J:$J,0))</f>
        <v>404</v>
      </c>
      <c r="W199" s="276"/>
      <c r="X199" s="276">
        <f t="shared" ca="1" si="31"/>
        <v>0</v>
      </c>
      <c r="Y199" s="276"/>
      <c r="Z199" s="276"/>
      <c r="AB199" s="278" t="str">
        <f t="shared" ca="1" si="32"/>
        <v>TinJiangxi New Nanshan Technology Ltd.</v>
      </c>
    </row>
    <row r="200" spans="1:28" s="277" customFormat="1" ht="76.5">
      <c r="A200" s="216" t="s">
        <v>797</v>
      </c>
      <c r="B200" s="217" t="str">
        <f ca="1">IF(LEN(A200)=0,"",INDEX('Smelter Look-up'!$A:$A,MATCH($A200,'Smelter Look-up'!$E:$E,0)))</f>
        <v>Tin</v>
      </c>
      <c r="C200" s="221" t="str">
        <f ca="1">IF(LEN(A200)=0,"",INDEX('Smelter Look-up'!$C:$C,MATCH($A200,'Smelter Look-up'!$E:$E,0)))</f>
        <v>O.M. Manufacturing (Thailand) Co., Ltd.</v>
      </c>
      <c r="D200" s="283"/>
      <c r="E200" s="217" t="str">
        <f ca="1">IF(ISERROR($V200),"",OFFSET('Smelter Look-up'!$D$4,$V200-4,0)&amp;"")</f>
        <v>THAILAND</v>
      </c>
      <c r="F200" s="217" t="str">
        <f ca="1">IF(ISERROR($V200),"",OFFSET('Smelter Look-up'!$E$4,$V200-4,0))</f>
        <v>CID001314</v>
      </c>
      <c r="G200" s="217" t="str">
        <f ca="1">IF(C200=$X$4,"Enter smelter details",IF(ISERROR($V200),"",OFFSET('Smelter Look-up'!$F$4,$V200-4,0)))</f>
        <v>RMI</v>
      </c>
      <c r="H200" s="218">
        <f ca="1">IF(ISERROR($V200),"",OFFSET('Smelter Look-up'!$G$4,$V200-4,0))</f>
        <v>0</v>
      </c>
      <c r="I200" s="219" t="str">
        <f ca="1">IF(ISERROR($V200),"",OFFSET('Smelter Look-up'!$H$4,$V200-4,0))</f>
        <v>Nongkham Sriracha</v>
      </c>
      <c r="J200" s="219" t="str">
        <f ca="1">IF(ISERROR($V200),"",OFFSET('Smelter Look-up'!$I$4,$V200-4,0))</f>
        <v>Chon Buri</v>
      </c>
      <c r="K200" s="273"/>
      <c r="L200" s="273"/>
      <c r="M200" s="273"/>
      <c r="N200" s="273"/>
      <c r="O200" s="273"/>
      <c r="P200" s="220"/>
      <c r="Q200" s="274"/>
      <c r="R200" s="217" t="str">
        <f ca="1">IF(ISERROR($V200),"",OFFSET('Smelter Look-up'!$C$4,$V200-4,0)&amp;"")</f>
        <v>O.M. Manufacturing (Thailand) Co., Ltd.</v>
      </c>
      <c r="S200" s="225" t="str">
        <f t="shared" ca="1" si="30"/>
        <v>TH</v>
      </c>
      <c r="T200" s="225" t="str">
        <f ca="1">IF(B200="","",IF(ISERROR(MATCH($J200,SorP!$B$1:$B$6230,0)),"",INDIRECT("'SorP'!$A$"&amp;MATCH($J200,SorP!$B$1:$B$6230,0))))</f>
        <v>TH-20</v>
      </c>
      <c r="U200" s="241"/>
      <c r="V200" s="275">
        <f ca="1">IF(C200="",NA(),MATCH($B200&amp;$C200,'Smelter Look-up'!$J:$J,0))</f>
        <v>431</v>
      </c>
      <c r="W200" s="276"/>
      <c r="X200" s="276">
        <f t="shared" ca="1" si="31"/>
        <v>0</v>
      </c>
      <c r="Y200" s="276"/>
      <c r="Z200" s="276"/>
      <c r="AB200" s="278" t="str">
        <f t="shared" ca="1" si="32"/>
        <v>TinO.M. Manufacturing (Thailand) Co., Ltd.</v>
      </c>
    </row>
    <row r="201" spans="1:28" s="277" customFormat="1" ht="63.75">
      <c r="A201" s="216" t="s">
        <v>1425</v>
      </c>
      <c r="B201" s="217" t="str">
        <f ca="1">IF(LEN(A201)=0,"",INDEX('Smelter Look-up'!$A:$A,MATCH($A201,'Smelter Look-up'!$E:$E,0)))</f>
        <v>Tin</v>
      </c>
      <c r="C201" s="221" t="str">
        <f ca="1">IF(LEN(A201)=0,"",INDEX('Smelter Look-up'!$C:$C,MATCH($A201,'Smelter Look-up'!$E:$E,0)))</f>
        <v>O.M. Manufacturing Philippines, Inc.</v>
      </c>
      <c r="D201" s="283"/>
      <c r="E201" s="217" t="str">
        <f ca="1">IF(ISERROR($V201),"",OFFSET('Smelter Look-up'!$D$4,$V201-4,0)&amp;"")</f>
        <v>PHILIPPINES</v>
      </c>
      <c r="F201" s="217" t="str">
        <f ca="1">IF(ISERROR($V201),"",OFFSET('Smelter Look-up'!$E$4,$V201-4,0))</f>
        <v>CID002517</v>
      </c>
      <c r="G201" s="217" t="str">
        <f ca="1">IF(C201=$X$4,"Enter smelter details",IF(ISERROR($V201),"",OFFSET('Smelter Look-up'!$F$4,$V201-4,0)))</f>
        <v>RMI</v>
      </c>
      <c r="H201" s="218">
        <f ca="1">IF(ISERROR($V201),"",OFFSET('Smelter Look-up'!$G$4,$V201-4,0))</f>
        <v>0</v>
      </c>
      <c r="I201" s="219" t="str">
        <f ca="1">IF(ISERROR($V201),"",OFFSET('Smelter Look-up'!$H$4,$V201-4,0))</f>
        <v>Rosario</v>
      </c>
      <c r="J201" s="219" t="str">
        <f ca="1">IF(ISERROR($V201),"",OFFSET('Smelter Look-up'!$I$4,$V201-4,0))</f>
        <v>Cavite</v>
      </c>
      <c r="K201" s="273"/>
      <c r="L201" s="273"/>
      <c r="M201" s="273"/>
      <c r="N201" s="273"/>
      <c r="O201" s="273"/>
      <c r="P201" s="220"/>
      <c r="Q201" s="274"/>
      <c r="R201" s="217" t="str">
        <f ca="1">IF(ISERROR($V201),"",OFFSET('Smelter Look-up'!$C$4,$V201-4,0)&amp;"")</f>
        <v>O.M. Manufacturing Philippines, Inc.</v>
      </c>
      <c r="S201" s="225" t="str">
        <f t="shared" ca="1" si="30"/>
        <v>PH</v>
      </c>
      <c r="T201" s="225" t="str">
        <f ca="1">IF(B201="","",IF(ISERROR(MATCH($J201,SorP!$B$1:$B$6230,0)),"",INDIRECT("'SorP'!$A$"&amp;MATCH($J201,SorP!$B$1:$B$6230,0))))</f>
        <v>PH-CAV</v>
      </c>
      <c r="U201" s="241"/>
      <c r="V201" s="275">
        <f ca="1">IF(C201="",NA(),MATCH($B201&amp;$C201,'Smelter Look-up'!$J:$J,0))</f>
        <v>432</v>
      </c>
      <c r="W201" s="276"/>
      <c r="X201" s="276">
        <f t="shared" ca="1" si="31"/>
        <v>0</v>
      </c>
      <c r="Y201" s="276"/>
      <c r="Z201" s="276"/>
      <c r="AB201" s="278" t="str">
        <f t="shared" ca="1" si="32"/>
        <v>TinO.M. Manufacturing Philippines, Inc.</v>
      </c>
    </row>
    <row r="202" spans="1:28" s="277" customFormat="1" ht="38.25">
      <c r="A202" s="216" t="s">
        <v>15572</v>
      </c>
      <c r="B202" s="217" t="s">
        <v>1154</v>
      </c>
      <c r="C202" s="348" t="s">
        <v>15574</v>
      </c>
      <c r="D202" s="283"/>
      <c r="E202" s="217" t="s">
        <v>1128</v>
      </c>
      <c r="F202" s="217" t="s">
        <v>15572</v>
      </c>
      <c r="G202" s="217" t="s">
        <v>13577</v>
      </c>
      <c r="H202" s="218" t="str">
        <f ca="1">IF(ISERROR($V202),"",OFFSET('Smelter Look-up'!$G$4,$V202-4,0))</f>
        <v/>
      </c>
      <c r="I202" s="350" t="s">
        <v>15575</v>
      </c>
      <c r="J202" s="350" t="s">
        <v>1830</v>
      </c>
      <c r="K202" s="273"/>
      <c r="L202" s="273"/>
      <c r="M202" s="273"/>
      <c r="N202" s="273"/>
      <c r="O202" s="273"/>
      <c r="P202" s="220"/>
      <c r="Q202" s="274"/>
      <c r="R202" s="217" t="str">
        <f ca="1">IF(ISERROR($V202),"",OFFSET('Smelter Look-up'!$C$4,$V202-4,0)&amp;"")</f>
        <v/>
      </c>
      <c r="S202" s="225" t="str">
        <f t="shared" ca="1" si="30"/>
        <v>ID</v>
      </c>
      <c r="T202" s="225" t="str">
        <f ca="1">IF(B202="","",IF(ISERROR(MATCH($J202,SorP!$B$1:$B$6230,0)),"",INDIRECT("'SorP'!$A$"&amp;MATCH($J202,SorP!$B$1:$B$6230,0))))</f>
        <v>ID-KR</v>
      </c>
      <c r="U202" s="241"/>
      <c r="V202" s="275" t="e">
        <f>IF(C202="",NA(),MATCH($B202&amp;$C202,'Smelter Look-up'!$J:$J,0))</f>
        <v>#N/A</v>
      </c>
      <c r="W202" s="276"/>
      <c r="X202" s="276">
        <f t="shared" si="31"/>
        <v>0</v>
      </c>
      <c r="Y202" s="276"/>
      <c r="Z202" s="276"/>
      <c r="AB202" s="278" t="str">
        <f t="shared" si="32"/>
        <v>TinPT Karimun Mining</v>
      </c>
    </row>
    <row r="203" spans="1:28" s="277" customFormat="1" ht="51">
      <c r="A203" s="216" t="s">
        <v>15573</v>
      </c>
      <c r="B203" s="217" t="s">
        <v>1154</v>
      </c>
      <c r="C203" s="348" t="s">
        <v>15576</v>
      </c>
      <c r="D203" s="283"/>
      <c r="E203" s="217" t="s">
        <v>1128</v>
      </c>
      <c r="F203" s="217" t="s">
        <v>15573</v>
      </c>
      <c r="G203" s="217" t="s">
        <v>13577</v>
      </c>
      <c r="H203" s="218" t="str">
        <f ca="1">IF(ISERROR($V203),"",OFFSET('Smelter Look-up'!$G$4,$V203-4,0))</f>
        <v/>
      </c>
      <c r="I203" s="350" t="s">
        <v>1805</v>
      </c>
      <c r="J203" s="350" t="s">
        <v>13183</v>
      </c>
      <c r="K203" s="273"/>
      <c r="L203" s="273"/>
      <c r="M203" s="273"/>
      <c r="N203" s="273"/>
      <c r="O203" s="273"/>
      <c r="P203" s="220"/>
      <c r="Q203" s="274"/>
      <c r="R203" s="217" t="str">
        <f ca="1">IF(ISERROR($V203),"",OFFSET('Smelter Look-up'!$C$4,$V203-4,0)&amp;"")</f>
        <v/>
      </c>
      <c r="S203" s="225" t="str">
        <f t="shared" ca="1" si="30"/>
        <v>ID</v>
      </c>
      <c r="T203" s="225" t="str">
        <f ca="1">IF(B203="","",IF(ISERROR(MATCH($J203,SorP!$B$1:$B$6230,0)),"",INDIRECT("'SorP'!$A$"&amp;MATCH($J203,SorP!$B$1:$B$6230,0))))</f>
        <v>ID-BB</v>
      </c>
      <c r="U203" s="241"/>
      <c r="V203" s="275" t="e">
        <f>IF(C203="",NA(),MATCH($B203&amp;$C203,'Smelter Look-up'!$J:$J,0))</f>
        <v>#N/A</v>
      </c>
      <c r="W203" s="276"/>
      <c r="X203" s="276">
        <f t="shared" si="31"/>
        <v>0</v>
      </c>
      <c r="Y203" s="276"/>
      <c r="Z203" s="276"/>
      <c r="AB203" s="278" t="str">
        <f t="shared" si="32"/>
        <v>TinPT Kijang Jaya Mandiri</v>
      </c>
    </row>
    <row r="204" spans="1:28" s="277" customFormat="1" ht="51">
      <c r="A204" s="216" t="s">
        <v>15577</v>
      </c>
      <c r="B204" s="217" t="s">
        <v>1154</v>
      </c>
      <c r="C204" s="348" t="s">
        <v>15578</v>
      </c>
      <c r="D204" s="283"/>
      <c r="E204" s="217" t="s">
        <v>1128</v>
      </c>
      <c r="F204" s="217" t="s">
        <v>15577</v>
      </c>
      <c r="G204" s="217" t="s">
        <v>13577</v>
      </c>
      <c r="H204" s="218" t="str">
        <f ca="1">IF(ISERROR($V204),"",OFFSET('Smelter Look-up'!$G$4,$V204-4,0))</f>
        <v/>
      </c>
      <c r="I204" s="350" t="s">
        <v>15527</v>
      </c>
      <c r="J204" s="350" t="s">
        <v>13183</v>
      </c>
      <c r="K204" s="273"/>
      <c r="L204" s="273"/>
      <c r="M204" s="273"/>
      <c r="N204" s="273"/>
      <c r="O204" s="273"/>
      <c r="P204" s="220"/>
      <c r="Q204" s="274"/>
      <c r="R204" s="217" t="str">
        <f ca="1">IF(ISERROR($V204),"",OFFSET('Smelter Look-up'!$C$4,$V204-4,0)&amp;"")</f>
        <v/>
      </c>
      <c r="S204" s="225" t="str">
        <f t="shared" ca="1" si="30"/>
        <v>ID</v>
      </c>
      <c r="T204" s="225" t="str">
        <f ca="1">IF(B204="","",IF(ISERROR(MATCH($J204,SorP!$B$1:$B$6230,0)),"",INDIRECT("'SorP'!$A$"&amp;MATCH($J204,SorP!$B$1:$B$6230,0))))</f>
        <v>ID-BB</v>
      </c>
      <c r="U204" s="241"/>
      <c r="V204" s="275" t="e">
        <f>IF(C204="",NA(),MATCH($B204&amp;$C204,'Smelter Look-up'!$J:$J,0))</f>
        <v>#N/A</v>
      </c>
      <c r="W204" s="276"/>
      <c r="X204" s="276">
        <f t="shared" si="31"/>
        <v>0</v>
      </c>
      <c r="Y204" s="276"/>
      <c r="Z204" s="276"/>
      <c r="AB204" s="278" t="str">
        <f t="shared" si="32"/>
        <v>TinPT Sumber Jaya Indah</v>
      </c>
    </row>
    <row r="205" spans="1:28" s="277" customFormat="1" ht="76.5">
      <c r="A205" s="216" t="s">
        <v>1855</v>
      </c>
      <c r="B205" s="217" t="str">
        <f ca="1">IF(LEN(A205)=0,"",INDEX('Smelter Look-up'!$A:$A,MATCH($A205,'Smelter Look-up'!$E:$E,0)))</f>
        <v>Tin</v>
      </c>
      <c r="C205" s="221" t="str">
        <f ca="1">IF(LEN(A205)=0,"",INDEX('Smelter Look-up'!$C:$C,MATCH($A205,'Smelter Look-up'!$E:$E,0)))</f>
        <v>Resind Industria e Comercio Ltda.</v>
      </c>
      <c r="D205" s="283"/>
      <c r="E205" s="217" t="str">
        <f ca="1">IF(ISERROR($V205),"",OFFSET('Smelter Look-up'!$D$4,$V205-4,0)&amp;"")</f>
        <v>BRAZIL</v>
      </c>
      <c r="F205" s="217" t="str">
        <f ca="1">IF(ISERROR($V205),"",OFFSET('Smelter Look-up'!$E$4,$V205-4,0))</f>
        <v>CID002706</v>
      </c>
      <c r="G205" s="217" t="str">
        <f ca="1">IF(C205=$X$4,"Enter smelter details",IF(ISERROR($V205),"",OFFSET('Smelter Look-up'!$F$4,$V205-4,0)))</f>
        <v>RMI</v>
      </c>
      <c r="H205" s="218">
        <f ca="1">IF(ISERROR($V205),"",OFFSET('Smelter Look-up'!$G$4,$V205-4,0))</f>
        <v>0</v>
      </c>
      <c r="I205" s="219" t="str">
        <f ca="1">IF(ISERROR($V205),"",OFFSET('Smelter Look-up'!$H$4,$V205-4,0))</f>
        <v>São João del Rei</v>
      </c>
      <c r="J205" s="219" t="str">
        <f ca="1">IF(ISERROR($V205),"",OFFSET('Smelter Look-up'!$I$4,$V205-4,0))</f>
        <v>Minas gerais</v>
      </c>
      <c r="K205" s="273"/>
      <c r="L205" s="273"/>
      <c r="M205" s="273"/>
      <c r="N205" s="273"/>
      <c r="O205" s="273"/>
      <c r="P205" s="220"/>
      <c r="Q205" s="274"/>
      <c r="R205" s="217" t="str">
        <f ca="1">IF(ISERROR($V205),"",OFFSET('Smelter Look-up'!$C$4,$V205-4,0)&amp;"")</f>
        <v>Resind Industria e Comercio Ltda.</v>
      </c>
      <c r="S205" s="225" t="str">
        <f t="shared" ca="1" si="30"/>
        <v>BR</v>
      </c>
      <c r="T205" s="225" t="str">
        <f ca="1">IF(B205="","",IF(ISERROR(MATCH($J205,SorP!$B$1:$B$6230,0)),"",INDIRECT("'SorP'!$A$"&amp;MATCH($J205,SorP!$B$1:$B$6230,0))))</f>
        <v>BR-MG</v>
      </c>
      <c r="U205" s="241"/>
      <c r="V205" s="275">
        <f ca="1">IF(C205="",NA(),MATCH($B205&amp;$C205,'Smelter Look-up'!$J:$J,0))</f>
        <v>448</v>
      </c>
      <c r="W205" s="276"/>
      <c r="X205" s="276">
        <f t="shared" ca="1" si="31"/>
        <v>0</v>
      </c>
      <c r="Y205" s="276"/>
      <c r="Z205" s="276"/>
      <c r="AB205" s="278" t="str">
        <f t="shared" ca="1" si="32"/>
        <v>TinResind Industria e Comercio Ltda.</v>
      </c>
    </row>
    <row r="206" spans="1:28" s="277" customFormat="1" ht="51">
      <c r="A206" s="216" t="s">
        <v>15579</v>
      </c>
      <c r="B206" s="217" t="s">
        <v>1154</v>
      </c>
      <c r="C206" s="348" t="s">
        <v>15585</v>
      </c>
      <c r="D206" s="283"/>
      <c r="E206" s="217" t="s">
        <v>1128</v>
      </c>
      <c r="F206" s="217" t="s">
        <v>15579</v>
      </c>
      <c r="G206" s="217" t="s">
        <v>13577</v>
      </c>
      <c r="H206" s="218" t="str">
        <f ca="1">IF(ISERROR($V206),"",OFFSET('Smelter Look-up'!$G$4,$V206-4,0))</f>
        <v/>
      </c>
      <c r="I206" s="350" t="s">
        <v>15586</v>
      </c>
      <c r="J206" s="350" t="s">
        <v>13183</v>
      </c>
      <c r="K206" s="273"/>
      <c r="L206" s="273"/>
      <c r="M206" s="273"/>
      <c r="N206" s="273"/>
      <c r="O206" s="273"/>
      <c r="P206" s="220"/>
      <c r="Q206" s="274"/>
      <c r="R206" s="217" t="str">
        <f ca="1">IF(ISERROR($V206),"",OFFSET('Smelter Look-up'!$C$4,$V206-4,0)&amp;"")</f>
        <v/>
      </c>
      <c r="S206" s="225" t="str">
        <f t="shared" ca="1" si="30"/>
        <v>ID</v>
      </c>
      <c r="T206" s="225" t="str">
        <f ca="1">IF(B206="","",IF(ISERROR(MATCH($J206,SorP!$B$1:$B$6230,0)),"",INDIRECT("'SorP'!$A$"&amp;MATCH($J206,SorP!$B$1:$B$6230,0))))</f>
        <v>ID-BB</v>
      </c>
      <c r="U206" s="241"/>
      <c r="V206" s="275" t="e">
        <f>IF(C206="",NA(),MATCH($B206&amp;$C206,'Smelter Look-up'!$J:$J,0))</f>
        <v>#N/A</v>
      </c>
      <c r="W206" s="276"/>
      <c r="X206" s="276">
        <f t="shared" si="31"/>
        <v>0</v>
      </c>
      <c r="Y206" s="276"/>
      <c r="Z206" s="276"/>
      <c r="AB206" s="278" t="str">
        <f t="shared" si="32"/>
        <v>TinPT Menara Cipta Mulia</v>
      </c>
    </row>
    <row r="207" spans="1:28" s="277" customFormat="1" ht="25.5">
      <c r="A207" s="216" t="s">
        <v>794</v>
      </c>
      <c r="B207" s="217" t="str">
        <f ca="1">IF(LEN(A207)=0,"",INDEX('Smelter Look-up'!$A:$A,MATCH($A207,'Smelter Look-up'!$E:$E,0)))</f>
        <v>Tin</v>
      </c>
      <c r="C207" s="221" t="str">
        <f ca="1">IF(LEN(A207)=0,"",INDEX('Smelter Look-up'!$C:$C,MATCH($A207,'Smelter Look-up'!$E:$E,0)))</f>
        <v>Minsur</v>
      </c>
      <c r="D207" s="283"/>
      <c r="E207" s="217" t="str">
        <f ca="1">IF(ISERROR($V207),"",OFFSET('Smelter Look-up'!$D$4,$V207-4,0)&amp;"")</f>
        <v>PERU</v>
      </c>
      <c r="F207" s="217" t="str">
        <f ca="1">IF(ISERROR($V207),"",OFFSET('Smelter Look-up'!$E$4,$V207-4,0))</f>
        <v>CID001182</v>
      </c>
      <c r="G207" s="217" t="str">
        <f ca="1">IF(C207=$X$4,"Enter smelter details",IF(ISERROR($V207),"",OFFSET('Smelter Look-up'!$F$4,$V207-4,0)))</f>
        <v>RMI</v>
      </c>
      <c r="H207" s="218">
        <f ca="1">IF(ISERROR($V207),"",OFFSET('Smelter Look-up'!$G$4,$V207-4,0))</f>
        <v>0</v>
      </c>
      <c r="I207" s="219" t="str">
        <f ca="1">IF(ISERROR($V207),"",OFFSET('Smelter Look-up'!$H$4,$V207-4,0))</f>
        <v>Paracas</v>
      </c>
      <c r="J207" s="219" t="str">
        <f ca="1">IF(ISERROR($V207),"",OFFSET('Smelter Look-up'!$I$4,$V207-4,0))</f>
        <v>Ika</v>
      </c>
      <c r="K207" s="273"/>
      <c r="L207" s="273"/>
      <c r="M207" s="273"/>
      <c r="N207" s="273"/>
      <c r="O207" s="273"/>
      <c r="P207" s="220"/>
      <c r="Q207" s="274"/>
      <c r="R207" s="217" t="str">
        <f ca="1">IF(ISERROR($V207),"",OFFSET('Smelter Look-up'!$C$4,$V207-4,0)&amp;"")</f>
        <v>Minsur</v>
      </c>
      <c r="S207" s="225" t="str">
        <f t="shared" ca="1" si="30"/>
        <v>PE</v>
      </c>
      <c r="T207" s="225" t="str">
        <f ca="1">IF(B207="","",IF(ISERROR(MATCH($J207,SorP!$B$1:$B$6230,0)),"",INDIRECT("'SorP'!$A$"&amp;MATCH($J207,SorP!$B$1:$B$6230,0))))</f>
        <v>PE-ICA</v>
      </c>
      <c r="U207" s="241"/>
      <c r="V207" s="275">
        <f ca="1">IF(C207="",NA(),MATCH($B207&amp;$C207,'Smelter Look-up'!$J:$J,0))</f>
        <v>424</v>
      </c>
      <c r="W207" s="276"/>
      <c r="X207" s="276">
        <f t="shared" ca="1" si="31"/>
        <v>0</v>
      </c>
      <c r="Y207" s="276"/>
      <c r="Z207" s="276"/>
      <c r="AB207" s="278" t="str">
        <f t="shared" ca="1" si="32"/>
        <v>TinMinsur</v>
      </c>
    </row>
    <row r="208" spans="1:28" s="277" customFormat="1" ht="63.75">
      <c r="A208" s="216" t="s">
        <v>811</v>
      </c>
      <c r="B208" s="217" t="str">
        <f ca="1">IF(LEN(A208)=0,"",INDEX('Smelter Look-up'!$A:$A,MATCH($A208,'Smelter Look-up'!$E:$E,0)))</f>
        <v>Tungsten</v>
      </c>
      <c r="C208" s="221" t="str">
        <f ca="1">IF(LEN(A208)=0,"",INDEX('Smelter Look-up'!$C:$C,MATCH($A208,'Smelter Look-up'!$E:$E,0)))</f>
        <v>Kennametal Huntsville</v>
      </c>
      <c r="D208" s="283"/>
      <c r="E208" s="217" t="str">
        <f ca="1">IF(ISERROR($V208),"",OFFSET('Smelter Look-up'!$D$4,$V208-4,0)&amp;"")</f>
        <v>UNITED STATES OF AMERICA</v>
      </c>
      <c r="F208" s="217" t="str">
        <f ca="1">IF(ISERROR($V208),"",OFFSET('Smelter Look-up'!$E$4,$V208-4,0))</f>
        <v>CID000105</v>
      </c>
      <c r="G208" s="217" t="str">
        <f ca="1">IF(C208=$X$4,"Enter smelter details",IF(ISERROR($V208),"",OFFSET('Smelter Look-up'!$F$4,$V208-4,0)))</f>
        <v>RMI</v>
      </c>
      <c r="H208" s="218">
        <f ca="1">IF(ISERROR($V208),"",OFFSET('Smelter Look-up'!$G$4,$V208-4,0))</f>
        <v>0</v>
      </c>
      <c r="I208" s="219" t="str">
        <f ca="1">IF(ISERROR($V208),"",OFFSET('Smelter Look-up'!$H$4,$V208-4,0))</f>
        <v>Huntsville</v>
      </c>
      <c r="J208" s="219" t="str">
        <f ca="1">IF(ISERROR($V208),"",OFFSET('Smelter Look-up'!$I$4,$V208-4,0))</f>
        <v>Alabama</v>
      </c>
      <c r="K208" s="273"/>
      <c r="L208" s="273"/>
      <c r="M208" s="273"/>
      <c r="N208" s="273"/>
      <c r="O208" s="273"/>
      <c r="P208" s="220"/>
      <c r="Q208" s="274"/>
      <c r="R208" s="217" t="str">
        <f ca="1">IF(ISERROR($V208),"",OFFSET('Smelter Look-up'!$C$4,$V208-4,0)&amp;"")</f>
        <v>Kennametal Huntsville</v>
      </c>
      <c r="S208" s="225" t="str">
        <f t="shared" ca="1" si="30"/>
        <v>US</v>
      </c>
      <c r="T208" s="225" t="str">
        <f ca="1">IF(B208="","",IF(ISERROR(MATCH($J208,SorP!$B$1:$B$6230,0)),"",INDIRECT("'SorP'!$A$"&amp;MATCH($J208,SorP!$B$1:$B$6230,0))))</f>
        <v>US-AL</v>
      </c>
      <c r="U208" s="241"/>
      <c r="V208" s="275">
        <f ca="1">IF(C208="",NA(),MATCH($B208&amp;$C208,'Smelter Look-up'!$J:$J,0))</f>
        <v>538</v>
      </c>
      <c r="W208" s="276"/>
      <c r="X208" s="276">
        <f t="shared" ca="1" si="31"/>
        <v>0</v>
      </c>
      <c r="Y208" s="276"/>
      <c r="Z208" s="276"/>
      <c r="AB208" s="278" t="str">
        <f t="shared" ca="1" si="32"/>
        <v>TungstenKennametal Huntsville</v>
      </c>
    </row>
    <row r="209" spans="1:28" s="277" customFormat="1" ht="76.5">
      <c r="A209" s="216" t="s">
        <v>815</v>
      </c>
      <c r="B209" s="217" t="str">
        <f ca="1">IF(LEN(A209)=0,"",INDEX('Smelter Look-up'!$A:$A,MATCH($A209,'Smelter Look-up'!$E:$E,0)))</f>
        <v>Tungsten</v>
      </c>
      <c r="C209" s="221" t="str">
        <f ca="1">IF(LEN(A209)=0,"",INDEX('Smelter Look-up'!$C:$C,MATCH($A209,'Smelter Look-up'!$E:$E,0)))</f>
        <v>Global Tungsten &amp; Powders Corp.</v>
      </c>
      <c r="D209" s="283"/>
      <c r="E209" s="217" t="str">
        <f ca="1">IF(ISERROR($V209),"",OFFSET('Smelter Look-up'!$D$4,$V209-4,0)&amp;"")</f>
        <v>UNITED STATES OF AMERICA</v>
      </c>
      <c r="F209" s="217" t="str">
        <f ca="1">IF(ISERROR($V209),"",OFFSET('Smelter Look-up'!$E$4,$V209-4,0))</f>
        <v>CID000568</v>
      </c>
      <c r="G209" s="217" t="str">
        <f ca="1">IF(C209=$X$4,"Enter smelter details",IF(ISERROR($V209),"",OFFSET('Smelter Look-up'!$F$4,$V209-4,0)))</f>
        <v>RMI</v>
      </c>
      <c r="H209" s="218">
        <f ca="1">IF(ISERROR($V209),"",OFFSET('Smelter Look-up'!$G$4,$V209-4,0))</f>
        <v>0</v>
      </c>
      <c r="I209" s="219" t="str">
        <f ca="1">IF(ISERROR($V209),"",OFFSET('Smelter Look-up'!$H$4,$V209-4,0))</f>
        <v>Towanda</v>
      </c>
      <c r="J209" s="219" t="str">
        <f ca="1">IF(ISERROR($V209),"",OFFSET('Smelter Look-up'!$I$4,$V209-4,0))</f>
        <v>Pennsylvania</v>
      </c>
      <c r="K209" s="273"/>
      <c r="L209" s="273"/>
      <c r="M209" s="273"/>
      <c r="N209" s="273"/>
      <c r="O209" s="273"/>
      <c r="P209" s="220"/>
      <c r="Q209" s="274"/>
      <c r="R209" s="217" t="str">
        <f ca="1">IF(ISERROR($V209),"",OFFSET('Smelter Look-up'!$C$4,$V209-4,0)&amp;"")</f>
        <v>Global Tungsten &amp; Powders Corp.</v>
      </c>
      <c r="S209" s="225" t="str">
        <f t="shared" ca="1" si="30"/>
        <v>US</v>
      </c>
      <c r="T209" s="225" t="str">
        <f ca="1">IF(B209="","",IF(ISERROR(MATCH($J209,SorP!$B$1:$B$6230,0)),"",INDIRECT("'SorP'!$A$"&amp;MATCH($J209,SorP!$B$1:$B$6230,0))))</f>
        <v>US-PA</v>
      </c>
      <c r="U209" s="241"/>
      <c r="V209" s="275">
        <f ca="1">IF(C209="",NA(),MATCH($B209&amp;$C209,'Smelter Look-up'!$J:$J,0))</f>
        <v>512</v>
      </c>
      <c r="W209" s="276"/>
      <c r="X209" s="276">
        <f t="shared" ca="1" si="31"/>
        <v>0</v>
      </c>
      <c r="Y209" s="276"/>
      <c r="Z209" s="276"/>
      <c r="AB209" s="278" t="str">
        <f t="shared" ca="1" si="32"/>
        <v>TungstenGlobal Tungsten &amp; Powders Corp.</v>
      </c>
    </row>
    <row r="210" spans="1:28" s="277" customFormat="1" ht="76.5">
      <c r="A210" s="216" t="s">
        <v>148</v>
      </c>
      <c r="B210" s="217" t="str">
        <f ca="1">IF(LEN(A210)=0,"",INDEX('Smelter Look-up'!$A:$A,MATCH($A210,'Smelter Look-up'!$E:$E,0)))</f>
        <v>Tungsten</v>
      </c>
      <c r="C210" s="221" t="str">
        <f ca="1">IF(LEN(A210)=0,"",INDEX('Smelter Look-up'!$C:$C,MATCH($A210,'Smelter Look-up'!$E:$E,0)))</f>
        <v>Xiamen Tungsten (H.C.) Co., Ltd.</v>
      </c>
      <c r="D210" s="283"/>
      <c r="E210" s="217" t="str">
        <f ca="1">IF(ISERROR($V210),"",OFFSET('Smelter Look-up'!$D$4,$V210-4,0)&amp;"")</f>
        <v>CHINA</v>
      </c>
      <c r="F210" s="217" t="str">
        <f ca="1">IF(ISERROR($V210),"",OFFSET('Smelter Look-up'!$E$4,$V210-4,0))</f>
        <v>CID002320</v>
      </c>
      <c r="G210" s="217" t="str">
        <f ca="1">IF(C210=$X$4,"Enter smelter details",IF(ISERROR($V210),"",OFFSET('Smelter Look-up'!$F$4,$V210-4,0)))</f>
        <v>RMI</v>
      </c>
      <c r="H210" s="218">
        <f ca="1">IF(ISERROR($V210),"",OFFSET('Smelter Look-up'!$G$4,$V210-4,0))</f>
        <v>0</v>
      </c>
      <c r="I210" s="219" t="str">
        <f ca="1">IF(ISERROR($V210),"",OFFSET('Smelter Look-up'!$H$4,$V210-4,0))</f>
        <v>Xiamen</v>
      </c>
      <c r="J210" s="219" t="str">
        <f ca="1">IF(ISERROR($V210),"",OFFSET('Smelter Look-up'!$I$4,$V210-4,0))</f>
        <v>Fujian Sheng</v>
      </c>
      <c r="K210" s="273"/>
      <c r="L210" s="273"/>
      <c r="M210" s="273"/>
      <c r="N210" s="273"/>
      <c r="O210" s="273"/>
      <c r="P210" s="220"/>
      <c r="Q210" s="274"/>
      <c r="R210" s="217" t="str">
        <f ca="1">IF(ISERROR($V210),"",OFFSET('Smelter Look-up'!$C$4,$V210-4,0)&amp;"")</f>
        <v>Xiamen Tungsten (H.C.) Co., Ltd.</v>
      </c>
      <c r="S210" s="225" t="str">
        <f t="shared" ca="1" si="30"/>
        <v>CN</v>
      </c>
      <c r="T210" s="225" t="str">
        <f ca="1">IF(B210="","",IF(ISERROR(MATCH($J210,SorP!$B$1:$B$6230,0)),"",INDIRECT("'SorP'!$A$"&amp;MATCH($J210,SorP!$B$1:$B$6230,0))))</f>
        <v>CN-FJ</v>
      </c>
      <c r="U210" s="241"/>
      <c r="V210" s="275">
        <f ca="1">IF(C210="",NA(),MATCH($B210&amp;$C210,'Smelter Look-up'!$J:$J,0))</f>
        <v>557</v>
      </c>
      <c r="W210" s="276"/>
      <c r="X210" s="276">
        <f t="shared" ca="1" si="31"/>
        <v>0</v>
      </c>
      <c r="Y210" s="276"/>
      <c r="Z210" s="276"/>
      <c r="AB210" s="278" t="str">
        <f t="shared" ca="1" si="32"/>
        <v>TungstenXiamen Tungsten (H.C.) Co., Ltd.</v>
      </c>
    </row>
    <row r="211" spans="1:28" s="277" customFormat="1" ht="102">
      <c r="A211" s="216" t="s">
        <v>813</v>
      </c>
      <c r="B211" s="217" t="str">
        <f ca="1">IF(LEN(A211)=0,"",INDEX('Smelter Look-up'!$A:$A,MATCH($A211,'Smelter Look-up'!$E:$E,0)))</f>
        <v>Tungsten</v>
      </c>
      <c r="C211" s="221" t="str">
        <f ca="1">IF(LEN(A211)=0,"",INDEX('Smelter Look-up'!$C:$C,MATCH($A211,'Smelter Look-up'!$E:$E,0)))</f>
        <v>Chongyi Zhangyuan Tungsten Co., Ltd.</v>
      </c>
      <c r="D211" s="283"/>
      <c r="E211" s="217" t="str">
        <f ca="1">IF(ISERROR($V211),"",OFFSET('Smelter Look-up'!$D$4,$V211-4,0)&amp;"")</f>
        <v>CHINA</v>
      </c>
      <c r="F211" s="217" t="str">
        <f ca="1">IF(ISERROR($V211),"",OFFSET('Smelter Look-up'!$E$4,$V211-4,0))</f>
        <v>CID000258</v>
      </c>
      <c r="G211" s="217" t="str">
        <f ca="1">IF(C211=$X$4,"Enter smelter details",IF(ISERROR($V211),"",OFFSET('Smelter Look-up'!$F$4,$V211-4,0)))</f>
        <v>RMI</v>
      </c>
      <c r="H211" s="218">
        <f ca="1">IF(ISERROR($V211),"",OFFSET('Smelter Look-up'!$G$4,$V211-4,0))</f>
        <v>0</v>
      </c>
      <c r="I211" s="219" t="str">
        <f ca="1">IF(ISERROR($V211),"",OFFSET('Smelter Look-up'!$H$4,$V211-4,0))</f>
        <v>Ganzhou</v>
      </c>
      <c r="J211" s="219" t="str">
        <f ca="1">IF(ISERROR($V211),"",OFFSET('Smelter Look-up'!$I$4,$V211-4,0))</f>
        <v>Jiangxi Sheng</v>
      </c>
      <c r="K211" s="273"/>
      <c r="L211" s="273"/>
      <c r="M211" s="273"/>
      <c r="N211" s="273"/>
      <c r="O211" s="273"/>
      <c r="P211" s="220"/>
      <c r="Q211" s="274"/>
      <c r="R211" s="217" t="str">
        <f ca="1">IF(ISERROR($V211),"",OFFSET('Smelter Look-up'!$C$4,$V211-4,0)&amp;"")</f>
        <v>Chongyi Zhangyuan Tungsten Co., Ltd.</v>
      </c>
      <c r="S211" s="225" t="str">
        <f t="shared" ca="1" si="30"/>
        <v>CN</v>
      </c>
      <c r="T211" s="225" t="str">
        <f ca="1">IF(B211="","",IF(ISERROR(MATCH($J211,SorP!$B$1:$B$6230,0)),"",INDIRECT("'SorP'!$A$"&amp;MATCH($J211,SorP!$B$1:$B$6230,0))))</f>
        <v>CN-JX</v>
      </c>
      <c r="U211" s="241"/>
      <c r="V211" s="275">
        <f ca="1">IF(C211="",NA(),MATCH($B211&amp;$C211,'Smelter Look-up'!$J:$J,0))</f>
        <v>501</v>
      </c>
      <c r="W211" s="276"/>
      <c r="X211" s="276">
        <f t="shared" ca="1" si="31"/>
        <v>0</v>
      </c>
      <c r="Y211" s="276"/>
      <c r="Z211" s="276"/>
      <c r="AB211" s="278" t="str">
        <f t="shared" ca="1" si="32"/>
        <v>TungstenChongyi Zhangyuan Tungsten Co., Ltd.</v>
      </c>
    </row>
    <row r="212" spans="1:28" s="277" customFormat="1" ht="89.25">
      <c r="A212" s="216" t="s">
        <v>821</v>
      </c>
      <c r="B212" s="217" t="str">
        <f ca="1">IF(LEN(A212)=0,"",INDEX('Smelter Look-up'!$A:$A,MATCH($A212,'Smelter Look-up'!$E:$E,0)))</f>
        <v>Tungsten</v>
      </c>
      <c r="C212" s="221" t="str">
        <f ca="1">IF(LEN(A212)=0,"",INDEX('Smelter Look-up'!$C:$C,MATCH($A212,'Smelter Look-up'!$E:$E,0)))</f>
        <v>Tejing (Vietnam) Tungsten Co., Ltd.</v>
      </c>
      <c r="D212" s="283"/>
      <c r="E212" s="217" t="str">
        <f ca="1">IF(ISERROR($V212),"",OFFSET('Smelter Look-up'!$D$4,$V212-4,0)&amp;"")</f>
        <v>VIET NAM</v>
      </c>
      <c r="F212" s="217" t="str">
        <f ca="1">IF(ISERROR($V212),"",OFFSET('Smelter Look-up'!$E$4,$V212-4,0))</f>
        <v>CID001889</v>
      </c>
      <c r="G212" s="217" t="str">
        <f ca="1">IF(C212=$X$4,"Enter smelter details",IF(ISERROR($V212),"",OFFSET('Smelter Look-up'!$F$4,$V212-4,0)))</f>
        <v>RMI</v>
      </c>
      <c r="H212" s="218">
        <f ca="1">IF(ISERROR($V212),"",OFFSET('Smelter Look-up'!$G$4,$V212-4,0))</f>
        <v>0</v>
      </c>
      <c r="I212" s="219" t="str">
        <f ca="1">IF(ISERROR($V212),"",OFFSET('Smelter Look-up'!$H$4,$V212-4,0))</f>
        <v>Halong City</v>
      </c>
      <c r="J212" s="219" t="str">
        <f ca="1">IF(ISERROR($V212),"",OFFSET('Smelter Look-up'!$I$4,$V212-4,0))</f>
        <v>Tây Ninh</v>
      </c>
      <c r="K212" s="273"/>
      <c r="L212" s="273"/>
      <c r="M212" s="273"/>
      <c r="N212" s="273"/>
      <c r="O212" s="273"/>
      <c r="P212" s="220"/>
      <c r="Q212" s="274"/>
      <c r="R212" s="217" t="str">
        <f ca="1">IF(ISERROR($V212),"",OFFSET('Smelter Look-up'!$C$4,$V212-4,0)&amp;"")</f>
        <v>Tejing (Vietnam) Tungsten Co., Ltd.</v>
      </c>
      <c r="S212" s="225" t="str">
        <f t="shared" ca="1" si="30"/>
        <v>VN</v>
      </c>
      <c r="T212" s="225" t="str">
        <f ca="1">IF(B212="","",IF(ISERROR(MATCH($J212,SorP!$B$1:$B$6230,0)),"",INDIRECT("'SorP'!$A$"&amp;MATCH($J212,SorP!$B$1:$B$6230,0))))</f>
        <v>VN-37</v>
      </c>
      <c r="U212" s="241"/>
      <c r="V212" s="275">
        <f ca="1">IF(C212="",NA(),MATCH($B212&amp;$C212,'Smelter Look-up'!$J:$J,0))</f>
        <v>549</v>
      </c>
      <c r="W212" s="276"/>
      <c r="X212" s="276">
        <f t="shared" ca="1" si="31"/>
        <v>0</v>
      </c>
      <c r="Y212" s="276"/>
      <c r="Z212" s="276"/>
      <c r="AB212" s="278" t="str">
        <f t="shared" ca="1" si="32"/>
        <v>TungstenTejing (Vietnam) Tungsten Co., Ltd.</v>
      </c>
    </row>
    <row r="213" spans="1:28" s="277" customFormat="1" ht="38.25">
      <c r="A213" s="216" t="s">
        <v>810</v>
      </c>
      <c r="B213" s="217" t="str">
        <f ca="1">IF(LEN(A213)=0,"",INDEX('Smelter Look-up'!$A:$A,MATCH($A213,'Smelter Look-up'!$E:$E,0)))</f>
        <v>Tungsten</v>
      </c>
      <c r="C213" s="221" t="str">
        <f ca="1">IF(LEN(A213)=0,"",INDEX('Smelter Look-up'!$C:$C,MATCH($A213,'Smelter Look-up'!$E:$E,0)))</f>
        <v>A.L.M.T. Corp.</v>
      </c>
      <c r="D213" s="283"/>
      <c r="E213" s="217" t="str">
        <f ca="1">IF(ISERROR($V213),"",OFFSET('Smelter Look-up'!$D$4,$V213-4,0)&amp;"")</f>
        <v>JAPAN</v>
      </c>
      <c r="F213" s="217" t="str">
        <f ca="1">IF(ISERROR($V213),"",OFFSET('Smelter Look-up'!$E$4,$V213-4,0))</f>
        <v>CID000004</v>
      </c>
      <c r="G213" s="217" t="str">
        <f ca="1">IF(C213=$X$4,"Enter smelter details",IF(ISERROR($V213),"",OFFSET('Smelter Look-up'!$F$4,$V213-4,0)))</f>
        <v>RMI</v>
      </c>
      <c r="H213" s="218">
        <f ca="1">IF(ISERROR($V213),"",OFFSET('Smelter Look-up'!$G$4,$V213-4,0))</f>
        <v>0</v>
      </c>
      <c r="I213" s="219" t="str">
        <f ca="1">IF(ISERROR($V213),"",OFFSET('Smelter Look-up'!$H$4,$V213-4,0))</f>
        <v>Toyama City</v>
      </c>
      <c r="J213" s="219" t="str">
        <f ca="1">IF(ISERROR($V213),"",OFFSET('Smelter Look-up'!$I$4,$V213-4,0))</f>
        <v>Toyama</v>
      </c>
      <c r="K213" s="273"/>
      <c r="L213" s="273"/>
      <c r="M213" s="273"/>
      <c r="N213" s="273"/>
      <c r="O213" s="273"/>
      <c r="P213" s="220"/>
      <c r="Q213" s="274"/>
      <c r="R213" s="217" t="str">
        <f ca="1">IF(ISERROR($V213),"",OFFSET('Smelter Look-up'!$C$4,$V213-4,0)&amp;"")</f>
        <v>A.L.M.T. Corp.</v>
      </c>
      <c r="S213" s="225" t="str">
        <f t="shared" ca="1" si="30"/>
        <v>JP</v>
      </c>
      <c r="T213" s="225" t="str">
        <f ca="1">IF(B213="","",IF(ISERROR(MATCH($J213,SorP!$B$1:$B$6230,0)),"",INDIRECT("'SorP'!$A$"&amp;MATCH($J213,SorP!$B$1:$B$6230,0))))</f>
        <v>JP-16</v>
      </c>
      <c r="U213" s="241"/>
      <c r="V213" s="275">
        <f ca="1">IF(C213="",NA(),MATCH($B213&amp;$C213,'Smelter Look-up'!$J:$J,0))</f>
        <v>486</v>
      </c>
      <c r="W213" s="276"/>
      <c r="X213" s="276">
        <f t="shared" ca="1" si="31"/>
        <v>0</v>
      </c>
      <c r="Y213" s="276"/>
      <c r="Z213" s="276"/>
      <c r="AB213" s="278" t="str">
        <f t="shared" ca="1" si="32"/>
        <v>TungstenA.L.M.T. Corp.</v>
      </c>
    </row>
    <row r="214" spans="1:28" s="277" customFormat="1" ht="76.5">
      <c r="A214" s="216" t="s">
        <v>816</v>
      </c>
      <c r="B214" s="217" t="str">
        <f ca="1">IF(LEN(A214)=0,"",INDEX('Smelter Look-up'!$A:$A,MATCH($A214,'Smelter Look-up'!$E:$E,0)))</f>
        <v>Tungsten</v>
      </c>
      <c r="C214" s="221" t="str">
        <f ca="1">IF(LEN(A214)=0,"",INDEX('Smelter Look-up'!$C:$C,MATCH($A214,'Smelter Look-up'!$E:$E,0)))</f>
        <v>Hunan Chenzhou Mining Co., Ltd.</v>
      </c>
      <c r="D214" s="283"/>
      <c r="E214" s="217" t="str">
        <f ca="1">IF(ISERROR($V214),"",OFFSET('Smelter Look-up'!$D$4,$V214-4,0)&amp;"")</f>
        <v>CHINA</v>
      </c>
      <c r="F214" s="217" t="str">
        <f ca="1">IF(ISERROR($V214),"",OFFSET('Smelter Look-up'!$E$4,$V214-4,0))</f>
        <v>CID000766</v>
      </c>
      <c r="G214" s="217" t="str">
        <f ca="1">IF(C214=$X$4,"Enter smelter details",IF(ISERROR($V214),"",OFFSET('Smelter Look-up'!$F$4,$V214-4,0)))</f>
        <v>RMI</v>
      </c>
      <c r="H214" s="218">
        <f ca="1">IF(ISERROR($V214),"",OFFSET('Smelter Look-up'!$G$4,$V214-4,0))</f>
        <v>0</v>
      </c>
      <c r="I214" s="219" t="str">
        <f ca="1">IF(ISERROR($V214),"",OFFSET('Smelter Look-up'!$H$4,$V214-4,0))</f>
        <v>Yuanling</v>
      </c>
      <c r="J214" s="219" t="str">
        <f ca="1">IF(ISERROR($V214),"",OFFSET('Smelter Look-up'!$I$4,$V214-4,0))</f>
        <v>Hunan Sheng</v>
      </c>
      <c r="K214" s="273"/>
      <c r="L214" s="273"/>
      <c r="M214" s="273"/>
      <c r="N214" s="273"/>
      <c r="O214" s="273"/>
      <c r="P214" s="220"/>
      <c r="Q214" s="274"/>
      <c r="R214" s="217" t="str">
        <f ca="1">IF(ISERROR($V214),"",OFFSET('Smelter Look-up'!$C$4,$V214-4,0)&amp;"")</f>
        <v>Hunan Chenzhou Mining Co., Ltd.</v>
      </c>
      <c r="S214" s="225" t="str">
        <f t="shared" ca="1" si="30"/>
        <v>CN</v>
      </c>
      <c r="T214" s="225" t="str">
        <f ca="1">IF(B214="","",IF(ISERROR(MATCH($J214,SorP!$B$1:$B$6230,0)),"",INDIRECT("'SorP'!$A$"&amp;MATCH($J214,SorP!$B$1:$B$6230,0))))</f>
        <v>CN-HN</v>
      </c>
      <c r="U214" s="241"/>
      <c r="V214" s="275">
        <f ca="1">IF(C214="",NA(),MATCH($B214&amp;$C214,'Smelter Look-up'!$J:$J,0))</f>
        <v>519</v>
      </c>
      <c r="W214" s="276"/>
      <c r="X214" s="276">
        <f t="shared" ca="1" si="31"/>
        <v>0</v>
      </c>
      <c r="Y214" s="276"/>
      <c r="Z214" s="276"/>
      <c r="AB214" s="278" t="str">
        <f t="shared" ca="1" si="32"/>
        <v>TungstenHunan Chenzhou Mining Co., Ltd.</v>
      </c>
    </row>
    <row r="215" spans="1:28" s="277" customFormat="1" ht="114.75">
      <c r="A215" s="216" t="s">
        <v>817</v>
      </c>
      <c r="B215" s="217" t="str">
        <f ca="1">IF(LEN(A215)=0,"",INDEX('Smelter Look-up'!$A:$A,MATCH($A215,'Smelter Look-up'!$E:$E,0)))</f>
        <v>Tungsten</v>
      </c>
      <c r="C215" s="221" t="str">
        <f ca="1">IF(LEN(A215)=0,"",INDEX('Smelter Look-up'!$C:$C,MATCH($A215,'Smelter Look-up'!$E:$E,0)))</f>
        <v>Hunan Chunchang Nonferrous Metals Co., Ltd.</v>
      </c>
      <c r="D215" s="283"/>
      <c r="E215" s="217" t="str">
        <f ca="1">IF(ISERROR($V215),"",OFFSET('Smelter Look-up'!$D$4,$V215-4,0)&amp;"")</f>
        <v>CHINA</v>
      </c>
      <c r="F215" s="217" t="str">
        <f ca="1">IF(ISERROR($V215),"",OFFSET('Smelter Look-up'!$E$4,$V215-4,0))</f>
        <v>CID000769</v>
      </c>
      <c r="G215" s="217" t="str">
        <f ca="1">IF(C215=$X$4,"Enter smelter details",IF(ISERROR($V215),"",OFFSET('Smelter Look-up'!$F$4,$V215-4,0)))</f>
        <v>RMI</v>
      </c>
      <c r="H215" s="218">
        <f ca="1">IF(ISERROR($V215),"",OFFSET('Smelter Look-up'!$G$4,$V215-4,0))</f>
        <v>0</v>
      </c>
      <c r="I215" s="219" t="str">
        <f ca="1">IF(ISERROR($V215),"",OFFSET('Smelter Look-up'!$H$4,$V215-4,0))</f>
        <v>Hengyang</v>
      </c>
      <c r="J215" s="219" t="str">
        <f ca="1">IF(ISERROR($V215),"",OFFSET('Smelter Look-up'!$I$4,$V215-4,0))</f>
        <v>Hunan Sheng</v>
      </c>
      <c r="K215" s="273"/>
      <c r="L215" s="273"/>
      <c r="M215" s="273"/>
      <c r="N215" s="273"/>
      <c r="O215" s="273"/>
      <c r="P215" s="220"/>
      <c r="Q215" s="274"/>
      <c r="R215" s="217" t="str">
        <f ca="1">IF(ISERROR($V215),"",OFFSET('Smelter Look-up'!$C$4,$V215-4,0)&amp;"")</f>
        <v>Hunan Chunchang Nonferrous Metals Co., Ltd.</v>
      </c>
      <c r="S215" s="225" t="str">
        <f t="shared" ca="1" si="30"/>
        <v>CN</v>
      </c>
      <c r="T215" s="225" t="str">
        <f ca="1">IF(B215="","",IF(ISERROR(MATCH($J215,SorP!$B$1:$B$6230,0)),"",INDIRECT("'SorP'!$A$"&amp;MATCH($J215,SorP!$B$1:$B$6230,0))))</f>
        <v>CN-HN</v>
      </c>
      <c r="U215" s="241"/>
      <c r="V215" s="275">
        <f ca="1">IF(C215="",NA(),MATCH($B215&amp;$C215,'Smelter Look-up'!$J:$J,0))</f>
        <v>522</v>
      </c>
      <c r="W215" s="276"/>
      <c r="X215" s="276">
        <f t="shared" ca="1" si="31"/>
        <v>0</v>
      </c>
      <c r="Y215" s="276"/>
      <c r="Z215" s="276"/>
      <c r="AB215" s="278" t="str">
        <f t="shared" ca="1" si="32"/>
        <v>TungstenHunan Chunchang Nonferrous Metals Co., Ltd.</v>
      </c>
    </row>
    <row r="216" spans="1:28" s="277" customFormat="1" ht="76.5">
      <c r="A216" s="216" t="s">
        <v>818</v>
      </c>
      <c r="B216" s="217" t="str">
        <f ca="1">IF(LEN(A216)=0,"",INDEX('Smelter Look-up'!$A:$A,MATCH($A216,'Smelter Look-up'!$E:$E,0)))</f>
        <v>Tungsten</v>
      </c>
      <c r="C216" s="221" t="str">
        <f ca="1">IF(LEN(A216)=0,"",INDEX('Smelter Look-up'!$C:$C,MATCH($A216,'Smelter Look-up'!$E:$E,0)))</f>
        <v>Japan New Metals Co., Ltd.</v>
      </c>
      <c r="D216" s="283"/>
      <c r="E216" s="217" t="str">
        <f ca="1">IF(ISERROR($V216),"",OFFSET('Smelter Look-up'!$D$4,$V216-4,0)&amp;"")</f>
        <v>JAPAN</v>
      </c>
      <c r="F216" s="217" t="str">
        <f ca="1">IF(ISERROR($V216),"",OFFSET('Smelter Look-up'!$E$4,$V216-4,0))</f>
        <v>CID000825</v>
      </c>
      <c r="G216" s="217" t="str">
        <f ca="1">IF(C216=$X$4,"Enter smelter details",IF(ISERROR($V216),"",OFFSET('Smelter Look-up'!$F$4,$V216-4,0)))</f>
        <v>RMI</v>
      </c>
      <c r="H216" s="218">
        <f ca="1">IF(ISERROR($V216),"",OFFSET('Smelter Look-up'!$G$4,$V216-4,0))</f>
        <v>0</v>
      </c>
      <c r="I216" s="219" t="str">
        <f ca="1">IF(ISERROR($V216),"",OFFSET('Smelter Look-up'!$H$4,$V216-4,0))</f>
        <v>Akita City</v>
      </c>
      <c r="J216" s="219" t="str">
        <f ca="1">IF(ISERROR($V216),"",OFFSET('Smelter Look-up'!$I$4,$V216-4,0))</f>
        <v>Akita</v>
      </c>
      <c r="K216" s="273"/>
      <c r="L216" s="273"/>
      <c r="M216" s="273"/>
      <c r="N216" s="273"/>
      <c r="O216" s="273"/>
      <c r="P216" s="220"/>
      <c r="Q216" s="274"/>
      <c r="R216" s="217" t="str">
        <f ca="1">IF(ISERROR($V216),"",OFFSET('Smelter Look-up'!$C$4,$V216-4,0)&amp;"")</f>
        <v>Japan New Metals Co., Ltd.</v>
      </c>
      <c r="S216" s="225" t="str">
        <f t="shared" ca="1" si="30"/>
        <v>JP</v>
      </c>
      <c r="T216" s="225" t="str">
        <f ca="1">IF(B216="","",IF(ISERROR(MATCH($J216,SorP!$B$1:$B$6230,0)),"",INDIRECT("'SorP'!$A$"&amp;MATCH($J216,SorP!$B$1:$B$6230,0))))</f>
        <v>JP-05</v>
      </c>
      <c r="U216" s="241"/>
      <c r="V216" s="275">
        <f ca="1">IF(C216="",NA(),MATCH($B216&amp;$C216,'Smelter Look-up'!$J:$J,0))</f>
        <v>525</v>
      </c>
      <c r="W216" s="276"/>
      <c r="X216" s="276">
        <f t="shared" ca="1" si="31"/>
        <v>0</v>
      </c>
      <c r="Y216" s="276"/>
      <c r="Z216" s="276"/>
      <c r="AB216" s="278" t="str">
        <f t="shared" ca="1" si="32"/>
        <v>TungstenJapan New Metals Co., Ltd.</v>
      </c>
    </row>
    <row r="217" spans="1:28" s="277" customFormat="1" ht="114.75">
      <c r="A217" s="216" t="s">
        <v>819</v>
      </c>
      <c r="B217" s="217" t="str">
        <f ca="1">IF(LEN(A217)=0,"",INDEX('Smelter Look-up'!$A:$A,MATCH($A217,'Smelter Look-up'!$E:$E,0)))</f>
        <v>Tungsten</v>
      </c>
      <c r="C217" s="221" t="str">
        <f ca="1">IF(LEN(A217)=0,"",INDEX('Smelter Look-up'!$C:$C,MATCH($A217,'Smelter Look-up'!$E:$E,0)))</f>
        <v>Ganzhou Huaxing Tungsten Products Co., Ltd.</v>
      </c>
      <c r="D217" s="283"/>
      <c r="E217" s="217" t="str">
        <f ca="1">IF(ISERROR($V217),"",OFFSET('Smelter Look-up'!$D$4,$V217-4,0)&amp;"")</f>
        <v>CHINA</v>
      </c>
      <c r="F217" s="217" t="str">
        <f ca="1">IF(ISERROR($V217),"",OFFSET('Smelter Look-up'!$E$4,$V217-4,0))</f>
        <v>CID000875</v>
      </c>
      <c r="G217" s="217" t="str">
        <f ca="1">IF(C217=$X$4,"Enter smelter details",IF(ISERROR($V217),"",OFFSET('Smelter Look-up'!$F$4,$V217-4,0)))</f>
        <v>RMI</v>
      </c>
      <c r="H217" s="218">
        <f ca="1">IF(ISERROR($V217),"",OFFSET('Smelter Look-up'!$G$4,$V217-4,0))</f>
        <v>0</v>
      </c>
      <c r="I217" s="219" t="str">
        <f ca="1">IF(ISERROR($V217),"",OFFSET('Smelter Look-up'!$H$4,$V217-4,0))</f>
        <v>Ganzhou</v>
      </c>
      <c r="J217" s="219" t="str">
        <f ca="1">IF(ISERROR($V217),"",OFFSET('Smelter Look-up'!$I$4,$V217-4,0))</f>
        <v>Jiangxi Sheng</v>
      </c>
      <c r="K217" s="273"/>
      <c r="L217" s="273"/>
      <c r="M217" s="273"/>
      <c r="N217" s="273"/>
      <c r="O217" s="273"/>
      <c r="P217" s="220"/>
      <c r="Q217" s="274"/>
      <c r="R217" s="217" t="str">
        <f ca="1">IF(ISERROR($V217),"",OFFSET('Smelter Look-up'!$C$4,$V217-4,0)&amp;"")</f>
        <v>Ganzhou Huaxing Tungsten Products Co., Ltd.</v>
      </c>
      <c r="S217" s="225" t="str">
        <f t="shared" ca="1" si="30"/>
        <v>CN</v>
      </c>
      <c r="T217" s="225" t="str">
        <f ca="1">IF(B217="","",IF(ISERROR(MATCH($J217,SorP!$B$1:$B$6230,0)),"",INDIRECT("'SorP'!$A$"&amp;MATCH($J217,SorP!$B$1:$B$6230,0))))</f>
        <v>CN-JX</v>
      </c>
      <c r="U217" s="241"/>
      <c r="V217" s="275">
        <f ca="1">IF(C217="",NA(),MATCH($B217&amp;$C217,'Smelter Look-up'!$J:$J,0))</f>
        <v>508</v>
      </c>
      <c r="W217" s="276"/>
      <c r="X217" s="276">
        <f t="shared" ca="1" si="31"/>
        <v>0</v>
      </c>
      <c r="Y217" s="276"/>
      <c r="Z217" s="276"/>
      <c r="AB217" s="278" t="str">
        <f t="shared" ca="1" si="32"/>
        <v>TungstenGanzhou Huaxing Tungsten Products Co., Ltd.</v>
      </c>
    </row>
    <row r="218" spans="1:28" s="277" customFormat="1" ht="89.25">
      <c r="A218" s="216" t="s">
        <v>822</v>
      </c>
      <c r="B218" s="217" t="str">
        <f ca="1">IF(LEN(A218)=0,"",INDEX('Smelter Look-up'!$A:$A,MATCH($A218,'Smelter Look-up'!$E:$E,0)))</f>
        <v>Tungsten</v>
      </c>
      <c r="C218" s="221" t="str">
        <f ca="1">IF(LEN(A218)=0,"",INDEX('Smelter Look-up'!$C:$C,MATCH($A218,'Smelter Look-up'!$E:$E,0)))</f>
        <v>Wolfram Bergbau und Hutten AG</v>
      </c>
      <c r="D218" s="283"/>
      <c r="E218" s="217" t="str">
        <f ca="1">IF(ISERROR($V218),"",OFFSET('Smelter Look-up'!$D$4,$V218-4,0)&amp;"")</f>
        <v>AUSTRIA</v>
      </c>
      <c r="F218" s="217" t="str">
        <f ca="1">IF(ISERROR($V218),"",OFFSET('Smelter Look-up'!$E$4,$V218-4,0))</f>
        <v>CID002044</v>
      </c>
      <c r="G218" s="217" t="str">
        <f ca="1">IF(C218=$X$4,"Enter smelter details",IF(ISERROR($V218),"",OFFSET('Smelter Look-up'!$F$4,$V218-4,0)))</f>
        <v>RMI</v>
      </c>
      <c r="H218" s="218">
        <f ca="1">IF(ISERROR($V218),"",OFFSET('Smelter Look-up'!$G$4,$V218-4,0))</f>
        <v>0</v>
      </c>
      <c r="I218" s="219" t="str">
        <f ca="1">IF(ISERROR($V218),"",OFFSET('Smelter Look-up'!$H$4,$V218-4,0))</f>
        <v>St. Martin i-S</v>
      </c>
      <c r="J218" s="219" t="str">
        <f ca="1">IF(ISERROR($V218),"",OFFSET('Smelter Look-up'!$I$4,$V218-4,0))</f>
        <v>Steiermark</v>
      </c>
      <c r="K218" s="273"/>
      <c r="L218" s="273"/>
      <c r="M218" s="273"/>
      <c r="N218" s="273"/>
      <c r="O218" s="273"/>
      <c r="P218" s="220"/>
      <c r="Q218" s="274"/>
      <c r="R218" s="217" t="str">
        <f ca="1">IF(ISERROR($V218),"",OFFSET('Smelter Look-up'!$C$4,$V218-4,0)&amp;"")</f>
        <v>Wolfram Bergbau und Hutten AG</v>
      </c>
      <c r="S218" s="225" t="str">
        <f t="shared" ca="1" si="30"/>
        <v>AT</v>
      </c>
      <c r="T218" s="225" t="str">
        <f ca="1">IF(B218="","",IF(ISERROR(MATCH($J218,SorP!$B$1:$B$6230,0)),"",INDIRECT("'SorP'!$A$"&amp;MATCH($J218,SorP!$B$1:$B$6230,0))))</f>
        <v>AT-6</v>
      </c>
      <c r="U218" s="241"/>
      <c r="V218" s="275">
        <f ca="1">IF(C218="",NA(),MATCH($B218&amp;$C218,'Smelter Look-up'!$J:$J,0))</f>
        <v>553</v>
      </c>
      <c r="W218" s="276"/>
      <c r="X218" s="276">
        <f t="shared" ca="1" si="31"/>
        <v>0</v>
      </c>
      <c r="Y218" s="276"/>
      <c r="Z218" s="276"/>
      <c r="AB218" s="278" t="str">
        <f t="shared" ca="1" si="32"/>
        <v>TungstenWolfram Bergbau und Hutten AG</v>
      </c>
    </row>
    <row r="219" spans="1:28" s="277" customFormat="1" ht="63.75">
      <c r="A219" s="216" t="s">
        <v>823</v>
      </c>
      <c r="B219" s="217" t="str">
        <f ca="1">IF(LEN(A219)=0,"",INDEX('Smelter Look-up'!$A:$A,MATCH($A219,'Smelter Look-up'!$E:$E,0)))</f>
        <v>Tungsten</v>
      </c>
      <c r="C219" s="221" t="str">
        <f ca="1">IF(LEN(A219)=0,"",INDEX('Smelter Look-up'!$C:$C,MATCH($A219,'Smelter Look-up'!$E:$E,0)))</f>
        <v>Xiamen Tungsten Co., Ltd.</v>
      </c>
      <c r="D219" s="283"/>
      <c r="E219" s="217" t="str">
        <f ca="1">IF(ISERROR($V219),"",OFFSET('Smelter Look-up'!$D$4,$V219-4,0)&amp;"")</f>
        <v>CHINA</v>
      </c>
      <c r="F219" s="217" t="str">
        <f ca="1">IF(ISERROR($V219),"",OFFSET('Smelter Look-up'!$E$4,$V219-4,0))</f>
        <v>CID002082</v>
      </c>
      <c r="G219" s="217" t="str">
        <f ca="1">IF(C219=$X$4,"Enter smelter details",IF(ISERROR($V219),"",OFFSET('Smelter Look-up'!$F$4,$V219-4,0)))</f>
        <v>RMI</v>
      </c>
      <c r="H219" s="218">
        <f ca="1">IF(ISERROR($V219),"",OFFSET('Smelter Look-up'!$G$4,$V219-4,0))</f>
        <v>0</v>
      </c>
      <c r="I219" s="219" t="str">
        <f ca="1">IF(ISERROR($V219),"",OFFSET('Smelter Look-up'!$H$4,$V219-4,0))</f>
        <v>Xiamen</v>
      </c>
      <c r="J219" s="219" t="str">
        <f ca="1">IF(ISERROR($V219),"",OFFSET('Smelter Look-up'!$I$4,$V219-4,0))</f>
        <v>Fujian Sheng</v>
      </c>
      <c r="K219" s="273"/>
      <c r="L219" s="273"/>
      <c r="M219" s="273"/>
      <c r="N219" s="273"/>
      <c r="O219" s="273"/>
      <c r="P219" s="220"/>
      <c r="Q219" s="274"/>
      <c r="R219" s="217" t="str">
        <f ca="1">IF(ISERROR($V219),"",OFFSET('Smelter Look-up'!$C$4,$V219-4,0)&amp;"")</f>
        <v>Xiamen Tungsten Co., Ltd.</v>
      </c>
      <c r="S219" s="225" t="str">
        <f t="shared" ca="1" si="30"/>
        <v>CN</v>
      </c>
      <c r="T219" s="225" t="str">
        <f ca="1">IF(B219="","",IF(ISERROR(MATCH($J219,SorP!$B$1:$B$6230,0)),"",INDIRECT("'SorP'!$A$"&amp;MATCH($J219,SorP!$B$1:$B$6230,0))))</f>
        <v>CN-FJ</v>
      </c>
      <c r="U219" s="241"/>
      <c r="V219" s="275">
        <f ca="1">IF(C219="",NA(),MATCH($B219&amp;$C219,'Smelter Look-up'!$J:$J,0))</f>
        <v>558</v>
      </c>
      <c r="W219" s="276"/>
      <c r="X219" s="276">
        <f t="shared" ca="1" si="31"/>
        <v>0</v>
      </c>
      <c r="Y219" s="276"/>
      <c r="Z219" s="276"/>
      <c r="AB219" s="278" t="str">
        <f t="shared" ca="1" si="32"/>
        <v>TungstenXiamen Tungsten Co., Ltd.</v>
      </c>
    </row>
    <row r="220" spans="1:28" s="277" customFormat="1" ht="102">
      <c r="A220" s="216" t="s">
        <v>825</v>
      </c>
      <c r="B220" s="217" t="str">
        <f ca="1">IF(LEN(A220)=0,"",INDEX('Smelter Look-up'!$A:$A,MATCH($A220,'Smelter Look-up'!$E:$E,0)))</f>
        <v>Tungsten</v>
      </c>
      <c r="C220" s="221" t="str">
        <f ca="1">IF(LEN(A220)=0,"",INDEX('Smelter Look-up'!$C:$C,MATCH($A220,'Smelter Look-up'!$E:$E,0)))</f>
        <v>Xinhai Rendan Shaoguan Tungsten Co., Ltd.</v>
      </c>
      <c r="D220" s="283"/>
      <c r="E220" s="217" t="str">
        <f ca="1">IF(ISERROR($V220),"",OFFSET('Smelter Look-up'!$D$4,$V220-4,0)&amp;"")</f>
        <v>CHINA</v>
      </c>
      <c r="F220" s="217" t="str">
        <f ca="1">IF(ISERROR($V220),"",OFFSET('Smelter Look-up'!$E$4,$V220-4,0))</f>
        <v>CID002095</v>
      </c>
      <c r="G220" s="217" t="str">
        <f ca="1">IF(C220=$X$4,"Enter smelter details",IF(ISERROR($V220),"",OFFSET('Smelter Look-up'!$F$4,$V220-4,0)))</f>
        <v>RMI</v>
      </c>
      <c r="H220" s="218">
        <f ca="1">IF(ISERROR($V220),"",OFFSET('Smelter Look-up'!$G$4,$V220-4,0))</f>
        <v>0</v>
      </c>
      <c r="I220" s="219" t="str">
        <f ca="1">IF(ISERROR($V220),"",OFFSET('Smelter Look-up'!$H$4,$V220-4,0))</f>
        <v>Shaoguan</v>
      </c>
      <c r="J220" s="219" t="str">
        <f ca="1">IF(ISERROR($V220),"",OFFSET('Smelter Look-up'!$I$4,$V220-4,0))</f>
        <v>Guangdong Sheng</v>
      </c>
      <c r="K220" s="273"/>
      <c r="L220" s="273"/>
      <c r="M220" s="273"/>
      <c r="N220" s="273"/>
      <c r="O220" s="273"/>
      <c r="P220" s="220"/>
      <c r="Q220" s="274"/>
      <c r="R220" s="217" t="str">
        <f ca="1">IF(ISERROR($V220),"",OFFSET('Smelter Look-up'!$C$4,$V220-4,0)&amp;"")</f>
        <v>Xinhai Rendan Shaoguan Tungsten Co., Ltd.</v>
      </c>
      <c r="S220" s="225" t="str">
        <f t="shared" ca="1" si="30"/>
        <v>CN</v>
      </c>
      <c r="T220" s="225" t="str">
        <f ca="1">IF(B220="","",IF(ISERROR(MATCH($J220,SorP!$B$1:$B$6230,0)),"",INDIRECT("'SorP'!$A$"&amp;MATCH($J220,SorP!$B$1:$B$6230,0))))</f>
        <v>CN-GD</v>
      </c>
      <c r="U220" s="241"/>
      <c r="V220" s="275">
        <f ca="1">IF(C220="",NA(),MATCH($B220&amp;$C220,'Smelter Look-up'!$J:$J,0))</f>
        <v>560</v>
      </c>
      <c r="W220" s="276"/>
      <c r="X220" s="276">
        <f t="shared" ca="1" si="31"/>
        <v>0</v>
      </c>
      <c r="Y220" s="276"/>
      <c r="Z220" s="276"/>
      <c r="AB220" s="278" t="str">
        <f t="shared" ca="1" si="32"/>
        <v>TungstenXinhai Rendan Shaoguan Tungsten Co., Ltd.</v>
      </c>
    </row>
    <row r="221" spans="1:28" s="277" customFormat="1" ht="102">
      <c r="A221" s="216" t="s">
        <v>143</v>
      </c>
      <c r="B221" s="217" t="str">
        <f ca="1">IF(LEN(A221)=0,"",INDEX('Smelter Look-up'!$A:$A,MATCH($A221,'Smelter Look-up'!$E:$E,0)))</f>
        <v>Tungsten</v>
      </c>
      <c r="C221" s="221" t="str">
        <f ca="1">IF(LEN(A221)=0,"",INDEX('Smelter Look-up'!$C:$C,MATCH($A221,'Smelter Look-up'!$E:$E,0)))</f>
        <v>Ganzhou Jiangwu Ferrotungsten Co., Ltd.</v>
      </c>
      <c r="D221" s="283"/>
      <c r="E221" s="217" t="str">
        <f ca="1">IF(ISERROR($V221),"",OFFSET('Smelter Look-up'!$D$4,$V221-4,0)&amp;"")</f>
        <v>CHINA</v>
      </c>
      <c r="F221" s="217" t="str">
        <f ca="1">IF(ISERROR($V221),"",OFFSET('Smelter Look-up'!$E$4,$V221-4,0))</f>
        <v>CID002315</v>
      </c>
      <c r="G221" s="217" t="str">
        <f ca="1">IF(C221=$X$4,"Enter smelter details",IF(ISERROR($V221),"",OFFSET('Smelter Look-up'!$F$4,$V221-4,0)))</f>
        <v>RMI</v>
      </c>
      <c r="H221" s="218">
        <f ca="1">IF(ISERROR($V221),"",OFFSET('Smelter Look-up'!$G$4,$V221-4,0))</f>
        <v>0</v>
      </c>
      <c r="I221" s="219" t="str">
        <f ca="1">IF(ISERROR($V221),"",OFFSET('Smelter Look-up'!$H$4,$V221-4,0))</f>
        <v>Ganzhou</v>
      </c>
      <c r="J221" s="219" t="str">
        <f ca="1">IF(ISERROR($V221),"",OFFSET('Smelter Look-up'!$I$4,$V221-4,0))</f>
        <v>Jiangxi Sheng</v>
      </c>
      <c r="K221" s="273"/>
      <c r="L221" s="273"/>
      <c r="M221" s="273"/>
      <c r="N221" s="273"/>
      <c r="O221" s="273"/>
      <c r="P221" s="220"/>
      <c r="Q221" s="274"/>
      <c r="R221" s="217" t="str">
        <f ca="1">IF(ISERROR($V221),"",OFFSET('Smelter Look-up'!$C$4,$V221-4,0)&amp;"")</f>
        <v>Ganzhou Jiangwu Ferrotungsten Co., Ltd.</v>
      </c>
      <c r="S221" s="225" t="str">
        <f t="shared" ca="1" si="30"/>
        <v>CN</v>
      </c>
      <c r="T221" s="225" t="str">
        <f ca="1">IF(B221="","",IF(ISERROR(MATCH($J221,SorP!$B$1:$B$6230,0)),"",INDIRECT("'SorP'!$A$"&amp;MATCH($J221,SorP!$B$1:$B$6230,0))))</f>
        <v>CN-JX</v>
      </c>
      <c r="U221" s="241"/>
      <c r="V221" s="275">
        <f ca="1">IF(C221="",NA(),MATCH($B221&amp;$C221,'Smelter Look-up'!$J:$J,0))</f>
        <v>509</v>
      </c>
      <c r="W221" s="276"/>
      <c r="X221" s="276">
        <f t="shared" ca="1" si="31"/>
        <v>0</v>
      </c>
      <c r="Y221" s="276"/>
      <c r="Z221" s="276"/>
      <c r="AB221" s="278" t="str">
        <f t="shared" ca="1" si="32"/>
        <v>TungstenGanzhou Jiangwu Ferrotungsten Co., Ltd.</v>
      </c>
    </row>
    <row r="222" spans="1:28" s="277" customFormat="1" ht="114.75">
      <c r="A222" s="216" t="s">
        <v>145</v>
      </c>
      <c r="B222" s="217" t="str">
        <f ca="1">IF(LEN(A222)=0,"",INDEX('Smelter Look-up'!$A:$A,MATCH($A222,'Smelter Look-up'!$E:$E,0)))</f>
        <v>Tungsten</v>
      </c>
      <c r="C222" s="221" t="str">
        <f ca="1">IF(LEN(A222)=0,"",INDEX('Smelter Look-up'!$C:$C,MATCH($A222,'Smelter Look-up'!$E:$E,0)))</f>
        <v>Jiangxi Xinsheng Tungsten Industry Co., Ltd.</v>
      </c>
      <c r="D222" s="283"/>
      <c r="E222" s="217" t="str">
        <f ca="1">IF(ISERROR($V222),"",OFFSET('Smelter Look-up'!$D$4,$V222-4,0)&amp;"")</f>
        <v>CHINA</v>
      </c>
      <c r="F222" s="217" t="str">
        <f ca="1">IF(ISERROR($V222),"",OFFSET('Smelter Look-up'!$E$4,$V222-4,0))</f>
        <v>CID002317</v>
      </c>
      <c r="G222" s="217" t="str">
        <f ca="1">IF(C222=$X$4,"Enter smelter details",IF(ISERROR($V222),"",OFFSET('Smelter Look-up'!$F$4,$V222-4,0)))</f>
        <v>RMI</v>
      </c>
      <c r="H222" s="218">
        <f ca="1">IF(ISERROR($V222),"",OFFSET('Smelter Look-up'!$G$4,$V222-4,0))</f>
        <v>0</v>
      </c>
      <c r="I222" s="219" t="str">
        <f ca="1">IF(ISERROR($V222),"",OFFSET('Smelter Look-up'!$H$4,$V222-4,0))</f>
        <v>Ganzhou</v>
      </c>
      <c r="J222" s="219" t="str">
        <f ca="1">IF(ISERROR($V222),"",OFFSET('Smelter Look-up'!$I$4,$V222-4,0))</f>
        <v>Jiangxi Sheng</v>
      </c>
      <c r="K222" s="273"/>
      <c r="L222" s="273"/>
      <c r="M222" s="273"/>
      <c r="N222" s="273"/>
      <c r="O222" s="273"/>
      <c r="P222" s="220"/>
      <c r="Q222" s="274"/>
      <c r="R222" s="217" t="str">
        <f ca="1">IF(ISERROR($V222),"",OFFSET('Smelter Look-up'!$C$4,$V222-4,0)&amp;"")</f>
        <v>Jiangxi Xinsheng Tungsten Industry Co., Ltd.</v>
      </c>
      <c r="S222" s="225" t="str">
        <f t="shared" ca="1" si="30"/>
        <v>CN</v>
      </c>
      <c r="T222" s="225" t="str">
        <f ca="1">IF(B222="","",IF(ISERROR(MATCH($J222,SorP!$B$1:$B$6230,0)),"",INDIRECT("'SorP'!$A$"&amp;MATCH($J222,SorP!$B$1:$B$6230,0))))</f>
        <v>CN-JX</v>
      </c>
      <c r="U222" s="241"/>
      <c r="V222" s="275">
        <f ca="1">IF(C222="",NA(),MATCH($B222&amp;$C222,'Smelter Look-up'!$J:$J,0))</f>
        <v>534</v>
      </c>
      <c r="W222" s="276"/>
      <c r="X222" s="276">
        <f t="shared" ca="1" si="31"/>
        <v>0</v>
      </c>
      <c r="Y222" s="276"/>
      <c r="Z222" s="276"/>
      <c r="AB222" s="278" t="str">
        <f t="shared" ca="1" si="32"/>
        <v>TungstenJiangxi Xinsheng Tungsten Industry Co., Ltd.</v>
      </c>
    </row>
    <row r="223" spans="1:28" s="277" customFormat="1" ht="76.5">
      <c r="A223" s="216" t="s">
        <v>141</v>
      </c>
      <c r="B223" s="217" t="str">
        <f ca="1">IF(LEN(A223)=0,"",INDEX('Smelter Look-up'!$A:$A,MATCH($A223,'Smelter Look-up'!$E:$E,0)))</f>
        <v>Tungsten</v>
      </c>
      <c r="C223" s="221" t="str">
        <f ca="1">IF(LEN(A223)=0,"",INDEX('Smelter Look-up'!$C:$C,MATCH($A223,'Smelter Look-up'!$E:$E,0)))</f>
        <v>Jiangxi Gan Bei Tungsten Co., Ltd.</v>
      </c>
      <c r="D223" s="283"/>
      <c r="E223" s="217" t="str">
        <f ca="1">IF(ISERROR($V223),"",OFFSET('Smelter Look-up'!$D$4,$V223-4,0)&amp;"")</f>
        <v>CHINA</v>
      </c>
      <c r="F223" s="217" t="str">
        <f ca="1">IF(ISERROR($V223),"",OFFSET('Smelter Look-up'!$E$4,$V223-4,0))</f>
        <v>CID002321</v>
      </c>
      <c r="G223" s="217" t="str">
        <f ca="1">IF(C223=$X$4,"Enter smelter details",IF(ISERROR($V223),"",OFFSET('Smelter Look-up'!$F$4,$V223-4,0)))</f>
        <v>RMI</v>
      </c>
      <c r="H223" s="218">
        <f ca="1">IF(ISERROR($V223),"",OFFSET('Smelter Look-up'!$G$4,$V223-4,0))</f>
        <v>0</v>
      </c>
      <c r="I223" s="219" t="str">
        <f ca="1">IF(ISERROR($V223),"",OFFSET('Smelter Look-up'!$H$4,$V223-4,0))</f>
        <v>Xiushui</v>
      </c>
      <c r="J223" s="219" t="str">
        <f ca="1">IF(ISERROR($V223),"",OFFSET('Smelter Look-up'!$I$4,$V223-4,0))</f>
        <v>Jiangxi Sheng</v>
      </c>
      <c r="K223" s="273"/>
      <c r="L223" s="273"/>
      <c r="M223" s="273"/>
      <c r="N223" s="273"/>
      <c r="O223" s="273"/>
      <c r="P223" s="220"/>
      <c r="Q223" s="274"/>
      <c r="R223" s="217" t="str">
        <f ca="1">IF(ISERROR($V223),"",OFFSET('Smelter Look-up'!$C$4,$V223-4,0)&amp;"")</f>
        <v>Jiangxi Gan Bei Tungsten Co., Ltd.</v>
      </c>
      <c r="S223" s="225" t="str">
        <f t="shared" ca="1" si="30"/>
        <v>CN</v>
      </c>
      <c r="T223" s="225" t="str">
        <f ca="1">IF(B223="","",IF(ISERROR(MATCH($J223,SorP!$B$1:$B$6230,0)),"",INDIRECT("'SorP'!$A$"&amp;MATCH($J223,SorP!$B$1:$B$6230,0))))</f>
        <v>CN-JX</v>
      </c>
      <c r="U223" s="241"/>
      <c r="V223" s="275">
        <f ca="1">IF(C223="",NA(),MATCH($B223&amp;$C223,'Smelter Look-up'!$J:$J,0))</f>
        <v>528</v>
      </c>
      <c r="W223" s="276"/>
      <c r="X223" s="276">
        <f t="shared" ca="1" si="31"/>
        <v>0</v>
      </c>
      <c r="Y223" s="276"/>
      <c r="Z223" s="276"/>
      <c r="AB223" s="278" t="str">
        <f t="shared" ca="1" si="32"/>
        <v>TungstenJiangxi Gan Bei Tungsten Co., Ltd.</v>
      </c>
    </row>
    <row r="224" spans="1:28" s="277" customFormat="1" ht="89.25">
      <c r="A224" s="216" t="s">
        <v>403</v>
      </c>
      <c r="B224" s="217" t="str">
        <f ca="1">IF(LEN(A224)=0,"",INDEX('Smelter Look-up'!$A:$A,MATCH($A224,'Smelter Look-up'!$E:$E,0)))</f>
        <v>Tungsten</v>
      </c>
      <c r="C224" s="221" t="str">
        <f ca="1">IF(LEN(A224)=0,"",INDEX('Smelter Look-up'!$C:$C,MATCH($A224,'Smelter Look-up'!$E:$E,0)))</f>
        <v>Ganzhou Seadragon W &amp; Mo Co., Ltd.</v>
      </c>
      <c r="D224" s="283"/>
      <c r="E224" s="217" t="str">
        <f ca="1">IF(ISERROR($V224),"",OFFSET('Smelter Look-up'!$D$4,$V224-4,0)&amp;"")</f>
        <v>CHINA</v>
      </c>
      <c r="F224" s="217" t="str">
        <f ca="1">IF(ISERROR($V224),"",OFFSET('Smelter Look-up'!$E$4,$V224-4,0))</f>
        <v>CID002494</v>
      </c>
      <c r="G224" s="217" t="str">
        <f ca="1">IF(C224=$X$4,"Enter smelter details",IF(ISERROR($V224),"",OFFSET('Smelter Look-up'!$F$4,$V224-4,0)))</f>
        <v>RMI</v>
      </c>
      <c r="H224" s="218">
        <f ca="1">IF(ISERROR($V224),"",OFFSET('Smelter Look-up'!$G$4,$V224-4,0))</f>
        <v>0</v>
      </c>
      <c r="I224" s="219" t="str">
        <f ca="1">IF(ISERROR($V224),"",OFFSET('Smelter Look-up'!$H$4,$V224-4,0))</f>
        <v>Ganzhou</v>
      </c>
      <c r="J224" s="219" t="str">
        <f ca="1">IF(ISERROR($V224),"",OFFSET('Smelter Look-up'!$I$4,$V224-4,0))</f>
        <v>Jiangxi Sheng</v>
      </c>
      <c r="K224" s="273"/>
      <c r="L224" s="273"/>
      <c r="M224" s="273"/>
      <c r="N224" s="273"/>
      <c r="O224" s="273"/>
      <c r="P224" s="220"/>
      <c r="Q224" s="274"/>
      <c r="R224" s="217" t="str">
        <f ca="1">IF(ISERROR($V224),"",OFFSET('Smelter Look-up'!$C$4,$V224-4,0)&amp;"")</f>
        <v>Ganzhou Seadragon W &amp; Mo Co., Ltd.</v>
      </c>
      <c r="S224" s="225" t="str">
        <f t="shared" ca="1" si="30"/>
        <v>CN</v>
      </c>
      <c r="T224" s="225" t="str">
        <f ca="1">IF(B224="","",IF(ISERROR(MATCH($J224,SorP!$B$1:$B$6230,0)),"",INDIRECT("'SorP'!$A$"&amp;MATCH($J224,SorP!$B$1:$B$6230,0))))</f>
        <v>CN-JX</v>
      </c>
      <c r="U224" s="241"/>
      <c r="V224" s="275">
        <f ca="1">IF(C224="",NA(),MATCH($B224&amp;$C224,'Smelter Look-up'!$J:$J,0))</f>
        <v>510</v>
      </c>
      <c r="W224" s="276"/>
      <c r="X224" s="276">
        <f t="shared" ca="1" si="31"/>
        <v>0</v>
      </c>
      <c r="Y224" s="276"/>
      <c r="Z224" s="276"/>
      <c r="AB224" s="278" t="str">
        <f t="shared" ca="1" si="32"/>
        <v>TungstenGanzhou Seadragon W &amp; Mo Co., Ltd.</v>
      </c>
    </row>
    <row r="225" spans="1:28" s="277" customFormat="1" ht="63.75">
      <c r="A225" s="216" t="s">
        <v>1451</v>
      </c>
      <c r="B225" s="217" t="str">
        <f ca="1">IF(LEN(A225)=0,"",INDEX('Smelter Look-up'!$A:$A,MATCH($A225,'Smelter Look-up'!$E:$E,0)))</f>
        <v>Tungsten</v>
      </c>
      <c r="C225" s="221" t="str">
        <f ca="1">IF(LEN(A225)=0,"",INDEX('Smelter Look-up'!$C:$C,MATCH($A225,'Smelter Look-up'!$E:$E,0)))</f>
        <v>H.C. Starck Tungsten GmbH</v>
      </c>
      <c r="D225" s="283"/>
      <c r="E225" s="217" t="str">
        <f ca="1">IF(ISERROR($V225),"",OFFSET('Smelter Look-up'!$D$4,$V225-4,0)&amp;"")</f>
        <v>GERMANY</v>
      </c>
      <c r="F225" s="217" t="str">
        <f ca="1">IF(ISERROR($V225),"",OFFSET('Smelter Look-up'!$E$4,$V225-4,0))</f>
        <v>CID002541</v>
      </c>
      <c r="G225" s="217" t="str">
        <f ca="1">IF(C225=$X$4,"Enter smelter details",IF(ISERROR($V225),"",OFFSET('Smelter Look-up'!$F$4,$V225-4,0)))</f>
        <v>RMI</v>
      </c>
      <c r="H225" s="218">
        <f ca="1">IF(ISERROR($V225),"",OFFSET('Smelter Look-up'!$G$4,$V225-4,0))</f>
        <v>0</v>
      </c>
      <c r="I225" s="219" t="str">
        <f ca="1">IF(ISERROR($V225),"",OFFSET('Smelter Look-up'!$H$4,$V225-4,0))</f>
        <v>Goslar</v>
      </c>
      <c r="J225" s="219" t="str">
        <f ca="1">IF(ISERROR($V225),"",OFFSET('Smelter Look-up'!$I$4,$V225-4,0))</f>
        <v>Niedersachsen</v>
      </c>
      <c r="K225" s="273"/>
      <c r="L225" s="273"/>
      <c r="M225" s="273"/>
      <c r="N225" s="273"/>
      <c r="O225" s="273"/>
      <c r="P225" s="220"/>
      <c r="Q225" s="274"/>
      <c r="R225" s="217" t="str">
        <f ca="1">IF(ISERROR($V225),"",OFFSET('Smelter Look-up'!$C$4,$V225-4,0)&amp;"")</f>
        <v>H.C. Starck Tungsten GmbH</v>
      </c>
      <c r="S225" s="225" t="str">
        <f t="shared" ca="1" si="30"/>
        <v>DE</v>
      </c>
      <c r="T225" s="225" t="str">
        <f ca="1">IF(B225="","",IF(ISERROR(MATCH($J225,SorP!$B$1:$B$6230,0)),"",INDIRECT("'SorP'!$A$"&amp;MATCH($J225,SorP!$B$1:$B$6230,0))))</f>
        <v>DE-NI</v>
      </c>
      <c r="U225" s="241"/>
      <c r="V225" s="275">
        <f ca="1">IF(C225="",NA(),MATCH($B225&amp;$C225,'Smelter Look-up'!$J:$J,0))</f>
        <v>516</v>
      </c>
      <c r="W225" s="276"/>
      <c r="X225" s="276">
        <f t="shared" ca="1" si="31"/>
        <v>0</v>
      </c>
      <c r="Y225" s="276"/>
      <c r="Z225" s="276"/>
      <c r="AB225" s="278" t="str">
        <f t="shared" ca="1" si="32"/>
        <v>TungstenH.C. Starck Tungsten GmbH</v>
      </c>
    </row>
    <row r="226" spans="1:28" s="277" customFormat="1" ht="76.5">
      <c r="A226" s="216" t="s">
        <v>1452</v>
      </c>
      <c r="B226" s="217" t="str">
        <f ca="1">IF(LEN(A226)=0,"",INDEX('Smelter Look-up'!$A:$A,MATCH($A226,'Smelter Look-up'!$E:$E,0)))</f>
        <v>Tungsten</v>
      </c>
      <c r="C226" s="221" t="str">
        <f ca="1">IF(LEN(A226)=0,"",INDEX('Smelter Look-up'!$C:$C,MATCH($A226,'Smelter Look-up'!$E:$E,0)))</f>
        <v>H.C. Starck Smelting GmbH &amp; Co. KG</v>
      </c>
      <c r="D226" s="283"/>
      <c r="E226" s="217" t="str">
        <f ca="1">IF(ISERROR($V226),"",OFFSET('Smelter Look-up'!$D$4,$V226-4,0)&amp;"")</f>
        <v>GERMANY</v>
      </c>
      <c r="F226" s="217" t="str">
        <f ca="1">IF(ISERROR($V226),"",OFFSET('Smelter Look-up'!$E$4,$V226-4,0))</f>
        <v>CID002542</v>
      </c>
      <c r="G226" s="217" t="str">
        <f ca="1">IF(C226=$X$4,"Enter smelter details",IF(ISERROR($V226),"",OFFSET('Smelter Look-up'!$F$4,$V226-4,0)))</f>
        <v>RMI</v>
      </c>
      <c r="H226" s="218">
        <f ca="1">IF(ISERROR($V226),"",OFFSET('Smelter Look-up'!$G$4,$V226-4,0))</f>
        <v>0</v>
      </c>
      <c r="I226" s="219" t="str">
        <f ca="1">IF(ISERROR($V226),"",OFFSET('Smelter Look-up'!$H$4,$V226-4,0))</f>
        <v>Laufenburg</v>
      </c>
      <c r="J226" s="219" t="str">
        <f ca="1">IF(ISERROR($V226),"",OFFSET('Smelter Look-up'!$I$4,$V226-4,0))</f>
        <v>Baden-Württemberg</v>
      </c>
      <c r="K226" s="273"/>
      <c r="L226" s="273"/>
      <c r="M226" s="273"/>
      <c r="N226" s="273"/>
      <c r="O226" s="273"/>
      <c r="P226" s="220"/>
      <c r="Q226" s="274"/>
      <c r="R226" s="217" t="str">
        <f ca="1">IF(ISERROR($V226),"",OFFSET('Smelter Look-up'!$C$4,$V226-4,0)&amp;"")</f>
        <v>H.C. Starck Smelting GmbH &amp; Co. KG</v>
      </c>
      <c r="S226" s="225" t="str">
        <f t="shared" ca="1" si="30"/>
        <v>DE</v>
      </c>
      <c r="T226" s="225" t="str">
        <f ca="1">IF(B226="","",IF(ISERROR(MATCH($J226,SorP!$B$1:$B$6230,0)),"",INDIRECT("'SorP'!$A$"&amp;MATCH($J226,SorP!$B$1:$B$6230,0))))</f>
        <v>DE-BW</v>
      </c>
      <c r="U226" s="241"/>
      <c r="V226" s="275">
        <f ca="1">IF(C226="",NA(),MATCH($B226&amp;$C226,'Smelter Look-up'!$J:$J,0))</f>
        <v>515</v>
      </c>
      <c r="W226" s="276"/>
      <c r="X226" s="276">
        <f t="shared" ca="1" si="31"/>
        <v>0</v>
      </c>
      <c r="Y226" s="276"/>
      <c r="Z226" s="276"/>
      <c r="AB226" s="278" t="str">
        <f t="shared" ca="1" si="32"/>
        <v>TungstenH.C. Starck Smelting GmbH &amp; Co. KG</v>
      </c>
    </row>
    <row r="227" spans="1:28" s="277" customFormat="1" ht="89.25">
      <c r="A227" s="216" t="s">
        <v>1455</v>
      </c>
      <c r="B227" s="217" t="str">
        <f ca="1">IF(LEN(A227)=0,"",INDEX('Smelter Look-up'!$A:$A,MATCH($A227,'Smelter Look-up'!$E:$E,0)))</f>
        <v>Tungsten</v>
      </c>
      <c r="C227" s="221" t="str">
        <f ca="1">IF(LEN(A227)=0,"",INDEX('Smelter Look-up'!$C:$C,MATCH($A227,'Smelter Look-up'!$E:$E,0)))</f>
        <v>Masan Tungsten Chemical LLC (MTC)</v>
      </c>
      <c r="D227" s="283"/>
      <c r="E227" s="217" t="str">
        <f ca="1">IF(ISERROR($V227),"",OFFSET('Smelter Look-up'!$D$4,$V227-4,0)&amp;"")</f>
        <v>VIET NAM</v>
      </c>
      <c r="F227" s="217" t="str">
        <f ca="1">IF(ISERROR($V227),"",OFFSET('Smelter Look-up'!$E$4,$V227-4,0))</f>
        <v>CID002543</v>
      </c>
      <c r="G227" s="217" t="str">
        <f ca="1">IF(C227=$X$4,"Enter smelter details",IF(ISERROR($V227),"",OFFSET('Smelter Look-up'!$F$4,$V227-4,0)))</f>
        <v>RMI</v>
      </c>
      <c r="H227" s="218">
        <f ca="1">IF(ISERROR($V227),"",OFFSET('Smelter Look-up'!$G$4,$V227-4,0))</f>
        <v>0</v>
      </c>
      <c r="I227" s="219" t="str">
        <f ca="1">IF(ISERROR($V227),"",OFFSET('Smelter Look-up'!$H$4,$V227-4,0))</f>
        <v>Dai Tu</v>
      </c>
      <c r="J227" s="219" t="str">
        <f ca="1">IF(ISERROR($V227),"",OFFSET('Smelter Look-up'!$I$4,$V227-4,0))</f>
        <v>Thái Nguyên</v>
      </c>
      <c r="K227" s="273"/>
      <c r="L227" s="273"/>
      <c r="M227" s="273"/>
      <c r="N227" s="273"/>
      <c r="O227" s="273"/>
      <c r="P227" s="220"/>
      <c r="Q227" s="274"/>
      <c r="R227" s="217" t="str">
        <f ca="1">IF(ISERROR($V227),"",OFFSET('Smelter Look-up'!$C$4,$V227-4,0)&amp;"")</f>
        <v>Masan Tungsten Chemical LLC (MTC)</v>
      </c>
      <c r="S227" s="225" t="str">
        <f t="shared" ca="1" si="30"/>
        <v>VN</v>
      </c>
      <c r="T227" s="225" t="str">
        <f ca="1">IF(B227="","",IF(ISERROR(MATCH($J227,SorP!$B$1:$B$6230,0)),"",INDIRECT("'SorP'!$A$"&amp;MATCH($J227,SorP!$B$1:$B$6230,0))))</f>
        <v>VN-69</v>
      </c>
      <c r="U227" s="241"/>
      <c r="V227" s="275">
        <f ca="1">IF(C227="",NA(),MATCH($B227&amp;$C227,'Smelter Look-up'!$J:$J,0))</f>
        <v>542</v>
      </c>
      <c r="W227" s="276"/>
      <c r="X227" s="276">
        <f t="shared" ca="1" si="31"/>
        <v>0</v>
      </c>
      <c r="Y227" s="276"/>
      <c r="Z227" s="276"/>
      <c r="AB227" s="278" t="str">
        <f t="shared" ca="1" si="32"/>
        <v>TungstenMasan Tungsten Chemical LLC (MTC)</v>
      </c>
    </row>
    <row r="228" spans="1:28" s="277" customFormat="1" ht="63.75">
      <c r="A228" s="216" t="s">
        <v>1889</v>
      </c>
      <c r="B228" s="217" t="str">
        <f ca="1">IF(LEN(A228)=0,"",INDEX('Smelter Look-up'!$A:$A,MATCH($A228,'Smelter Look-up'!$E:$E,0)))</f>
        <v>Tungsten</v>
      </c>
      <c r="C228" s="221" t="str">
        <f ca="1">IF(LEN(A228)=0,"",INDEX('Smelter Look-up'!$C:$C,MATCH($A228,'Smelter Look-up'!$E:$E,0)))</f>
        <v>Niagara Refining LLC</v>
      </c>
      <c r="D228" s="283"/>
      <c r="E228" s="217" t="str">
        <f ca="1">IF(ISERROR($V228),"",OFFSET('Smelter Look-up'!$D$4,$V228-4,0)&amp;"")</f>
        <v>UNITED STATES OF AMERICA</v>
      </c>
      <c r="F228" s="217" t="str">
        <f ca="1">IF(ISERROR($V228),"",OFFSET('Smelter Look-up'!$E$4,$V228-4,0))</f>
        <v>CID002589</v>
      </c>
      <c r="G228" s="217" t="str">
        <f ca="1">IF(C228=$X$4,"Enter smelter details",IF(ISERROR($V228),"",OFFSET('Smelter Look-up'!$F$4,$V228-4,0)))</f>
        <v>RMI</v>
      </c>
      <c r="H228" s="218">
        <f ca="1">IF(ISERROR($V228),"",OFFSET('Smelter Look-up'!$G$4,$V228-4,0))</f>
        <v>0</v>
      </c>
      <c r="I228" s="219" t="str">
        <f ca="1">IF(ISERROR($V228),"",OFFSET('Smelter Look-up'!$H$4,$V228-4,0))</f>
        <v>Depew</v>
      </c>
      <c r="J228" s="219" t="str">
        <f ca="1">IF(ISERROR($V228),"",OFFSET('Smelter Look-up'!$I$4,$V228-4,0))</f>
        <v>New York</v>
      </c>
      <c r="K228" s="273"/>
      <c r="L228" s="273"/>
      <c r="M228" s="273"/>
      <c r="N228" s="273"/>
      <c r="O228" s="273"/>
      <c r="P228" s="220"/>
      <c r="Q228" s="274"/>
      <c r="R228" s="217" t="str">
        <f ca="1">IF(ISERROR($V228),"",OFFSET('Smelter Look-up'!$C$4,$V228-4,0)&amp;"")</f>
        <v>Niagara Refining LLC</v>
      </c>
      <c r="S228" s="225" t="str">
        <f t="shared" ca="1" si="30"/>
        <v>US</v>
      </c>
      <c r="T228" s="225" t="str">
        <f ca="1">IF(B228="","",IF(ISERROR(MATCH($J228,SorP!$B$1:$B$6230,0)),"",INDIRECT("'SorP'!$A$"&amp;MATCH($J228,SorP!$B$1:$B$6230,0))))</f>
        <v>US-NY</v>
      </c>
      <c r="U228" s="241"/>
      <c r="V228" s="275">
        <f ca="1">IF(C228="",NA(),MATCH($B228&amp;$C228,'Smelter Look-up'!$J:$J,0))</f>
        <v>544</v>
      </c>
      <c r="W228" s="276"/>
      <c r="X228" s="276">
        <f t="shared" ca="1" si="31"/>
        <v>0</v>
      </c>
      <c r="Y228" s="276"/>
      <c r="Z228" s="276"/>
      <c r="AB228" s="278" t="str">
        <f t="shared" ca="1" si="32"/>
        <v>TungstenNiagara Refining LLC</v>
      </c>
    </row>
    <row r="229" spans="1:28" s="277" customFormat="1" ht="51">
      <c r="A229" s="216" t="s">
        <v>2382</v>
      </c>
      <c r="B229" s="217" t="str">
        <f ca="1">IF(LEN(A229)=0,"",INDEX('Smelter Look-up'!$A:$A,MATCH($A229,'Smelter Look-up'!$E:$E,0)))</f>
        <v>Tungsten</v>
      </c>
      <c r="C229" s="221" t="str">
        <f ca="1">IF(LEN(A229)=0,"",INDEX('Smelter Look-up'!$C:$C,MATCH($A229,'Smelter Look-up'!$E:$E,0)))</f>
        <v>ACL Metais Eireli</v>
      </c>
      <c r="D229" s="283"/>
      <c r="E229" s="217" t="str">
        <f ca="1">IF(ISERROR($V229),"",OFFSET('Smelter Look-up'!$D$4,$V229-4,0)&amp;"")</f>
        <v>BRAZIL</v>
      </c>
      <c r="F229" s="217" t="str">
        <f ca="1">IF(ISERROR($V229),"",OFFSET('Smelter Look-up'!$E$4,$V229-4,0))</f>
        <v>CID002833</v>
      </c>
      <c r="G229" s="217" t="str">
        <f ca="1">IF(C229=$X$4,"Enter smelter details",IF(ISERROR($V229),"",OFFSET('Smelter Look-up'!$F$4,$V229-4,0)))</f>
        <v>RMI</v>
      </c>
      <c r="H229" s="218">
        <f ca="1">IF(ISERROR($V229),"",OFFSET('Smelter Look-up'!$G$4,$V229-4,0))</f>
        <v>0</v>
      </c>
      <c r="I229" s="219" t="str">
        <f ca="1">IF(ISERROR($V229),"",OFFSET('Smelter Look-up'!$H$4,$V229-4,0))</f>
        <v>Araçariguama</v>
      </c>
      <c r="J229" s="219" t="str">
        <f ca="1">IF(ISERROR($V229),"",OFFSET('Smelter Look-up'!$I$4,$V229-4,0))</f>
        <v>São Paulo</v>
      </c>
      <c r="K229" s="273"/>
      <c r="L229" s="273"/>
      <c r="M229" s="273"/>
      <c r="N229" s="273"/>
      <c r="O229" s="273"/>
      <c r="P229" s="220"/>
      <c r="Q229" s="274"/>
      <c r="R229" s="217" t="str">
        <f ca="1">IF(ISERROR($V229),"",OFFSET('Smelter Look-up'!$C$4,$V229-4,0)&amp;"")</f>
        <v>ACL Metais Eireli</v>
      </c>
      <c r="S229" s="225" t="str">
        <f t="shared" ca="1" si="30"/>
        <v>BR</v>
      </c>
      <c r="T229" s="225" t="str">
        <f ca="1">IF(B229="","",IF(ISERROR(MATCH($J229,SorP!$B$1:$B$6230,0)),"",INDIRECT("'SorP'!$A$"&amp;MATCH($J229,SorP!$B$1:$B$6230,0))))</f>
        <v>BR-SP</v>
      </c>
      <c r="U229" s="241"/>
      <c r="V229" s="275">
        <f ca="1">IF(C229="",NA(),MATCH($B229&amp;$C229,'Smelter Look-up'!$J:$J,0))</f>
        <v>488</v>
      </c>
      <c r="W229" s="276"/>
      <c r="X229" s="276">
        <f t="shared" ca="1" si="31"/>
        <v>0</v>
      </c>
      <c r="Y229" s="276"/>
      <c r="Z229" s="276"/>
      <c r="AB229" s="278" t="str">
        <f t="shared" ca="1" si="32"/>
        <v>TungstenACL Metais Eireli</v>
      </c>
    </row>
    <row r="230" spans="1:28" s="277" customFormat="1" ht="114.75">
      <c r="A230" s="216" t="s">
        <v>1429</v>
      </c>
      <c r="B230" s="217" t="str">
        <f ca="1">IF(LEN(A230)=0,"",INDEX('Smelter Look-up'!$A:$A,MATCH($A230,'Smelter Look-up'!$E:$E,0)))</f>
        <v>Tungsten</v>
      </c>
      <c r="C230" s="221" t="str">
        <f ca="1">IF(LEN(A230)=0,"",INDEX('Smelter Look-up'!$C:$C,MATCH($A230,'Smelter Look-up'!$E:$E,0)))</f>
        <v>Chenzhou Diamond Tungsten Products Co., Ltd.</v>
      </c>
      <c r="D230" s="283"/>
      <c r="E230" s="217" t="str">
        <f ca="1">IF(ISERROR($V230),"",OFFSET('Smelter Look-up'!$D$4,$V230-4,0)&amp;"")</f>
        <v>CHINA</v>
      </c>
      <c r="F230" s="217" t="str">
        <f ca="1">IF(ISERROR($V230),"",OFFSET('Smelter Look-up'!$E$4,$V230-4,0))</f>
        <v>CID002513</v>
      </c>
      <c r="G230" s="217" t="str">
        <f ca="1">IF(C230=$X$4,"Enter smelter details",IF(ISERROR($V230),"",OFFSET('Smelter Look-up'!$F$4,$V230-4,0)))</f>
        <v>RMI</v>
      </c>
      <c r="H230" s="218">
        <f ca="1">IF(ISERROR($V230),"",OFFSET('Smelter Look-up'!$G$4,$V230-4,0))</f>
        <v>0</v>
      </c>
      <c r="I230" s="219" t="str">
        <f ca="1">IF(ISERROR($V230),"",OFFSET('Smelter Look-up'!$H$4,$V230-4,0))</f>
        <v>Chenzhou</v>
      </c>
      <c r="J230" s="219" t="str">
        <f ca="1">IF(ISERROR($V230),"",OFFSET('Smelter Look-up'!$I$4,$V230-4,0))</f>
        <v>Hunan Sheng</v>
      </c>
      <c r="K230" s="273"/>
      <c r="L230" s="273"/>
      <c r="M230" s="273"/>
      <c r="N230" s="273"/>
      <c r="O230" s="273"/>
      <c r="P230" s="220"/>
      <c r="Q230" s="274"/>
      <c r="R230" s="217" t="str">
        <f ca="1">IF(ISERROR($V230),"",OFFSET('Smelter Look-up'!$C$4,$V230-4,0)&amp;"")</f>
        <v>Chenzhou Diamond Tungsten Products Co., Ltd.</v>
      </c>
      <c r="S230" s="225" t="str">
        <f t="shared" ref="S230:S260" ca="1" si="33">IF(B230="","",IF(ISERROR(MATCH($E230,CL,0)),"Unknown",INDIRECT("'C'!$A$"&amp;MATCH($E230,CL,0)+1)))</f>
        <v>CN</v>
      </c>
      <c r="T230" s="225" t="str">
        <f ca="1">IF(B230="","",IF(ISERROR(MATCH($J230,SorP!$B$1:$B$6230,0)),"",INDIRECT("'SorP'!$A$"&amp;MATCH($J230,SorP!$B$1:$B$6230,0))))</f>
        <v>CN-HN</v>
      </c>
      <c r="U230" s="241"/>
      <c r="V230" s="275">
        <f ca="1">IF(C230="",NA(),MATCH($B230&amp;$C230,'Smelter Look-up'!$J:$J,0))</f>
        <v>497</v>
      </c>
      <c r="W230" s="276"/>
      <c r="X230" s="276">
        <f t="shared" ref="X230:X260" ca="1" si="34">IF(AND(C230="Smelter not listed",OR(LEN(D230)=0,LEN(E230)=0)),1,0)</f>
        <v>0</v>
      </c>
      <c r="Y230" s="276"/>
      <c r="Z230" s="276"/>
      <c r="AB230" s="278" t="str">
        <f t="shared" ref="AB230:AB260" ca="1" si="35">B230&amp;C230</f>
        <v>TungstenChenzhou Diamond Tungsten Products Co., Ltd.</v>
      </c>
    </row>
    <row r="231" spans="1:28" s="277" customFormat="1" ht="76.5">
      <c r="A231" s="216" t="s">
        <v>814</v>
      </c>
      <c r="B231" s="217" t="str">
        <f ca="1">IF(LEN(A231)=0,"",INDEX('Smelter Look-up'!$A:$A,MATCH($A231,'Smelter Look-up'!$E:$E,0)))</f>
        <v>Tungsten</v>
      </c>
      <c r="C231" s="221" t="str">
        <f ca="1">IF(LEN(A231)=0,"",INDEX('Smelter Look-up'!$C:$C,MATCH($A231,'Smelter Look-up'!$E:$E,0)))</f>
        <v>Fujian Jinxin Tungsten Co., Ltd.</v>
      </c>
      <c r="D231" s="283"/>
      <c r="E231" s="217" t="str">
        <f ca="1">IF(ISERROR($V231),"",OFFSET('Smelter Look-up'!$D$4,$V231-4,0)&amp;"")</f>
        <v>CHINA</v>
      </c>
      <c r="F231" s="217" t="str">
        <f ca="1">IF(ISERROR($V231),"",OFFSET('Smelter Look-up'!$E$4,$V231-4,0))</f>
        <v>CID000499</v>
      </c>
      <c r="G231" s="217" t="str">
        <f ca="1">IF(C231=$X$4,"Enter smelter details",IF(ISERROR($V231),"",OFFSET('Smelter Look-up'!$F$4,$V231-4,0)))</f>
        <v>RMI</v>
      </c>
      <c r="H231" s="218">
        <f ca="1">IF(ISERROR($V231),"",OFFSET('Smelter Look-up'!$G$4,$V231-4,0))</f>
        <v>0</v>
      </c>
      <c r="I231" s="219" t="str">
        <f ca="1">IF(ISERROR($V231),"",OFFSET('Smelter Look-up'!$H$4,$V231-4,0))</f>
        <v>Yanshi</v>
      </c>
      <c r="J231" s="219" t="str">
        <f ca="1">IF(ISERROR($V231),"",OFFSET('Smelter Look-up'!$I$4,$V231-4,0))</f>
        <v>Fujian Sheng</v>
      </c>
      <c r="K231" s="273"/>
      <c r="L231" s="273"/>
      <c r="M231" s="273"/>
      <c r="N231" s="273"/>
      <c r="O231" s="273"/>
      <c r="P231" s="220"/>
      <c r="Q231" s="274"/>
      <c r="R231" s="217" t="str">
        <f ca="1">IF(ISERROR($V231),"",OFFSET('Smelter Look-up'!$C$4,$V231-4,0)&amp;"")</f>
        <v>Fujian Jinxin Tungsten Co., Ltd.</v>
      </c>
      <c r="S231" s="225" t="str">
        <f t="shared" ca="1" si="33"/>
        <v>CN</v>
      </c>
      <c r="T231" s="225" t="str">
        <f ca="1">IF(B231="","",IF(ISERROR(MATCH($J231,SorP!$B$1:$B$6230,0)),"",INDIRECT("'SorP'!$A$"&amp;MATCH($J231,SorP!$B$1:$B$6230,0))))</f>
        <v>CN-FJ</v>
      </c>
      <c r="U231" s="241"/>
      <c r="V231" s="275">
        <f ca="1">IF(C231="",NA(),MATCH($B231&amp;$C231,'Smelter Look-up'!$J:$J,0))</f>
        <v>506</v>
      </c>
      <c r="W231" s="276"/>
      <c r="X231" s="276">
        <f t="shared" ca="1" si="34"/>
        <v>0</v>
      </c>
      <c r="Y231" s="276"/>
      <c r="Z231" s="276"/>
      <c r="AB231" s="278" t="str">
        <f t="shared" ca="1" si="35"/>
        <v>TungstenFujian Jinxin Tungsten Co., Ltd.</v>
      </c>
    </row>
    <row r="232" spans="1:28" s="277" customFormat="1" ht="89.25">
      <c r="A232" s="216" t="s">
        <v>812</v>
      </c>
      <c r="B232" s="217" t="str">
        <f ca="1">IF(LEN(A232)=0,"",INDEX('Smelter Look-up'!$A:$A,MATCH($A232,'Smelter Look-up'!$E:$E,0)))</f>
        <v>Tungsten</v>
      </c>
      <c r="C232" s="221" t="str">
        <f ca="1">IF(LEN(A232)=0,"",INDEX('Smelter Look-up'!$C:$C,MATCH($A232,'Smelter Look-up'!$E:$E,0)))</f>
        <v>Guangdong Xianglu Tungsten Co., Ltd.</v>
      </c>
      <c r="D232" s="283"/>
      <c r="E232" s="217" t="str">
        <f ca="1">IF(ISERROR($V232),"",OFFSET('Smelter Look-up'!$D$4,$V232-4,0)&amp;"")</f>
        <v>CHINA</v>
      </c>
      <c r="F232" s="217" t="str">
        <f ca="1">IF(ISERROR($V232),"",OFFSET('Smelter Look-up'!$E$4,$V232-4,0))</f>
        <v>CID000218</v>
      </c>
      <c r="G232" s="217" t="str">
        <f ca="1">IF(C232=$X$4,"Enter smelter details",IF(ISERROR($V232),"",OFFSET('Smelter Look-up'!$F$4,$V232-4,0)))</f>
        <v>RMI</v>
      </c>
      <c r="H232" s="218">
        <f ca="1">IF(ISERROR($V232),"",OFFSET('Smelter Look-up'!$G$4,$V232-4,0))</f>
        <v>0</v>
      </c>
      <c r="I232" s="219" t="str">
        <f ca="1">IF(ISERROR($V232),"",OFFSET('Smelter Look-up'!$H$4,$V232-4,0))</f>
        <v>Chaozhou</v>
      </c>
      <c r="J232" s="219" t="str">
        <f ca="1">IF(ISERROR($V232),"",OFFSET('Smelter Look-up'!$I$4,$V232-4,0))</f>
        <v>Guangdong Sheng</v>
      </c>
      <c r="K232" s="273"/>
      <c r="L232" s="273"/>
      <c r="M232" s="273"/>
      <c r="N232" s="273"/>
      <c r="O232" s="273"/>
      <c r="P232" s="220"/>
      <c r="Q232" s="274"/>
      <c r="R232" s="217" t="str">
        <f ca="1">IF(ISERROR($V232),"",OFFSET('Smelter Look-up'!$C$4,$V232-4,0)&amp;"")</f>
        <v>Guangdong Xianglu Tungsten Co., Ltd.</v>
      </c>
      <c r="S232" s="225" t="str">
        <f t="shared" ca="1" si="33"/>
        <v>CN</v>
      </c>
      <c r="T232" s="225" t="str">
        <f ca="1">IF(B232="","",IF(ISERROR(MATCH($J232,SorP!$B$1:$B$6230,0)),"",INDIRECT("'SorP'!$A$"&amp;MATCH($J232,SorP!$B$1:$B$6230,0))))</f>
        <v>CN-GD</v>
      </c>
      <c r="U232" s="241"/>
      <c r="V232" s="275">
        <f ca="1">IF(C232="",NA(),MATCH($B232&amp;$C232,'Smelter Look-up'!$J:$J,0))</f>
        <v>514</v>
      </c>
      <c r="W232" s="276"/>
      <c r="X232" s="276">
        <f t="shared" ca="1" si="34"/>
        <v>0</v>
      </c>
      <c r="Y232" s="276"/>
      <c r="Z232" s="276"/>
      <c r="AB232" s="278" t="str">
        <f t="shared" ca="1" si="35"/>
        <v>TungstenGuangdong Xianglu Tungsten Co., Ltd.</v>
      </c>
    </row>
    <row r="233" spans="1:28" s="277" customFormat="1" ht="127.5">
      <c r="A233" s="216" t="s">
        <v>1887</v>
      </c>
      <c r="B233" s="217" t="str">
        <f ca="1">IF(LEN(A233)=0,"",INDEX('Smelter Look-up'!$A:$A,MATCH($A233,'Smelter Look-up'!$E:$E,0)))</f>
        <v>Tungsten</v>
      </c>
      <c r="C233" s="221" t="str">
        <f ca="1">IF(LEN(A233)=0,"",INDEX('Smelter Look-up'!$C:$C,MATCH($A233,'Smelter Look-up'!$E:$E,0)))</f>
        <v>Hunan Chuangda Vanadium Tungsten Co., Ltd. Wuji</v>
      </c>
      <c r="D233" s="283"/>
      <c r="E233" s="217" t="str">
        <f ca="1">IF(ISERROR($V233),"",OFFSET('Smelter Look-up'!$D$4,$V233-4,0)&amp;"")</f>
        <v>CHINA</v>
      </c>
      <c r="F233" s="217" t="str">
        <f ca="1">IF(ISERROR($V233),"",OFFSET('Smelter Look-up'!$E$4,$V233-4,0))</f>
        <v>CID002579</v>
      </c>
      <c r="G233" s="217" t="str">
        <f ca="1">IF(C233=$X$4,"Enter smelter details",IF(ISERROR($V233),"",OFFSET('Smelter Look-up'!$F$4,$V233-4,0)))</f>
        <v>RMI</v>
      </c>
      <c r="H233" s="218">
        <f ca="1">IF(ISERROR($V233),"",OFFSET('Smelter Look-up'!$G$4,$V233-4,0))</f>
        <v>0</v>
      </c>
      <c r="I233" s="219" t="str">
        <f ca="1">IF(ISERROR($V233),"",OFFSET('Smelter Look-up'!$H$4,$V233-4,0))</f>
        <v>Hengyang</v>
      </c>
      <c r="J233" s="219" t="str">
        <f ca="1">IF(ISERROR($V233),"",OFFSET('Smelter Look-up'!$I$4,$V233-4,0))</f>
        <v>Hunan Sheng</v>
      </c>
      <c r="K233" s="273"/>
      <c r="L233" s="273"/>
      <c r="M233" s="273"/>
      <c r="N233" s="273"/>
      <c r="O233" s="273"/>
      <c r="P233" s="220"/>
      <c r="Q233" s="274"/>
      <c r="R233" s="217" t="str">
        <f ca="1">IF(ISERROR($V233),"",OFFSET('Smelter Look-up'!$C$4,$V233-4,0)&amp;"")</f>
        <v>Hunan Chuangda Vanadium Tungsten Co., Ltd. Wuji</v>
      </c>
      <c r="S233" s="225" t="str">
        <f t="shared" ca="1" si="33"/>
        <v>CN</v>
      </c>
      <c r="T233" s="225" t="str">
        <f ca="1">IF(B233="","",IF(ISERROR(MATCH($J233,SorP!$B$1:$B$6230,0)),"",INDIRECT("'SorP'!$A$"&amp;MATCH($J233,SorP!$B$1:$B$6230,0))))</f>
        <v>CN-HN</v>
      </c>
      <c r="U233" s="241"/>
      <c r="V233" s="275">
        <f ca="1">IF(C233="",NA(),MATCH($B233&amp;$C233,'Smelter Look-up'!$J:$J,0))</f>
        <v>521</v>
      </c>
      <c r="W233" s="276"/>
      <c r="X233" s="276">
        <f t="shared" ca="1" si="34"/>
        <v>0</v>
      </c>
      <c r="Y233" s="276"/>
      <c r="Z233" s="276"/>
      <c r="AB233" s="278" t="str">
        <f t="shared" ca="1" si="35"/>
        <v>TungstenHunan Chuangda Vanadium Tungsten Co., Ltd. Wuji</v>
      </c>
    </row>
    <row r="234" spans="1:28" s="277" customFormat="1" ht="51">
      <c r="A234" s="216" t="s">
        <v>1892</v>
      </c>
      <c r="B234" s="217" t="str">
        <f ca="1">IF(LEN(A234)=0,"",INDEX('Smelter Look-up'!$A:$A,MATCH($A234,'Smelter Look-up'!$E:$E,0)))</f>
        <v>Tungsten</v>
      </c>
      <c r="C234" s="221" t="str">
        <f ca="1">IF(LEN(A234)=0,"",INDEX('Smelter Look-up'!$C:$C,MATCH($A234,'Smelter Look-up'!$E:$E,0)))</f>
        <v>Hydrometallurg, JSC</v>
      </c>
      <c r="D234" s="283"/>
      <c r="E234" s="217" t="str">
        <f ca="1">IF(ISERROR($V234),"",OFFSET('Smelter Look-up'!$D$4,$V234-4,0)&amp;"")</f>
        <v>RUSSIAN FEDERATION</v>
      </c>
      <c r="F234" s="217" t="str">
        <f ca="1">IF(ISERROR($V234),"",OFFSET('Smelter Look-up'!$E$4,$V234-4,0))</f>
        <v>CID002649</v>
      </c>
      <c r="G234" s="217" t="str">
        <f ca="1">IF(C234=$X$4,"Enter smelter details",IF(ISERROR($V234),"",OFFSET('Smelter Look-up'!$F$4,$V234-4,0)))</f>
        <v>RMI</v>
      </c>
      <c r="H234" s="218">
        <f ca="1">IF(ISERROR($V234),"",OFFSET('Smelter Look-up'!$G$4,$V234-4,0))</f>
        <v>0</v>
      </c>
      <c r="I234" s="219" t="str">
        <f ca="1">IF(ISERROR($V234),"",OFFSET('Smelter Look-up'!$H$4,$V234-4,0))</f>
        <v>Nalchik</v>
      </c>
      <c r="J234" s="219" t="str">
        <f ca="1">IF(ISERROR($V234),"",OFFSET('Smelter Look-up'!$I$4,$V234-4,0))</f>
        <v>Kabardino-Balkarskaya Respublika</v>
      </c>
      <c r="K234" s="273"/>
      <c r="L234" s="273"/>
      <c r="M234" s="273"/>
      <c r="N234" s="273"/>
      <c r="O234" s="273"/>
      <c r="P234" s="220"/>
      <c r="Q234" s="274"/>
      <c r="R234" s="217" t="str">
        <f ca="1">IF(ISERROR($V234),"",OFFSET('Smelter Look-up'!$C$4,$V234-4,0)&amp;"")</f>
        <v>Hydrometallurg, JSC</v>
      </c>
      <c r="S234" s="225" t="str">
        <f t="shared" ca="1" si="33"/>
        <v>RU</v>
      </c>
      <c r="T234" s="225" t="str">
        <f ca="1">IF(B234="","",IF(ISERROR(MATCH($J234,SorP!$B$1:$B$6230,0)),"",INDIRECT("'SorP'!$A$"&amp;MATCH($J234,SorP!$B$1:$B$6230,0))))</f>
        <v>RU-KB</v>
      </c>
      <c r="U234" s="241"/>
      <c r="V234" s="275">
        <f ca="1">IF(C234="",NA(),MATCH($B234&amp;$C234,'Smelter Look-up'!$J:$J,0))</f>
        <v>524</v>
      </c>
      <c r="W234" s="276"/>
      <c r="X234" s="276">
        <f t="shared" ca="1" si="34"/>
        <v>0</v>
      </c>
      <c r="Y234" s="276"/>
      <c r="Z234" s="276"/>
      <c r="AB234" s="278" t="str">
        <f t="shared" ca="1" si="35"/>
        <v>TungstenHydrometallurg, JSC</v>
      </c>
    </row>
    <row r="235" spans="1:28" s="277" customFormat="1" ht="114.75">
      <c r="A235" s="216" t="s">
        <v>1454</v>
      </c>
      <c r="B235" s="217" t="str">
        <f ca="1">IF(LEN(A235)=0,"",INDEX('Smelter Look-up'!$A:$A,MATCH($A235,'Smelter Look-up'!$E:$E,0)))</f>
        <v>Tungsten</v>
      </c>
      <c r="C235" s="221" t="str">
        <f ca="1">IF(LEN(A235)=0,"",INDEX('Smelter Look-up'!$C:$C,MATCH($A235,'Smelter Look-up'!$E:$E,0)))</f>
        <v>Jiangwu H.C. Starck Tungsten Products Co., Ltd.</v>
      </c>
      <c r="D235" s="283"/>
      <c r="E235" s="217" t="str">
        <f ca="1">IF(ISERROR($V235),"",OFFSET('Smelter Look-up'!$D$4,$V235-4,0)&amp;"")</f>
        <v>CHINA</v>
      </c>
      <c r="F235" s="217" t="str">
        <f ca="1">IF(ISERROR($V235),"",OFFSET('Smelter Look-up'!$E$4,$V235-4,0))</f>
        <v>CID002551</v>
      </c>
      <c r="G235" s="217" t="str">
        <f ca="1">IF(C235=$X$4,"Enter smelter details",IF(ISERROR($V235),"",OFFSET('Smelter Look-up'!$F$4,$V235-4,0)))</f>
        <v>RMI</v>
      </c>
      <c r="H235" s="218">
        <f ca="1">IF(ISERROR($V235),"",OFFSET('Smelter Look-up'!$G$4,$V235-4,0))</f>
        <v>0</v>
      </c>
      <c r="I235" s="219" t="str">
        <f ca="1">IF(ISERROR($V235),"",OFFSET('Smelter Look-up'!$H$4,$V235-4,0))</f>
        <v>Ganzhou</v>
      </c>
      <c r="J235" s="219" t="str">
        <f ca="1">IF(ISERROR($V235),"",OFFSET('Smelter Look-up'!$I$4,$V235-4,0))</f>
        <v>Jiangxi Sheng</v>
      </c>
      <c r="K235" s="273"/>
      <c r="L235" s="273"/>
      <c r="M235" s="273"/>
      <c r="N235" s="273"/>
      <c r="O235" s="273"/>
      <c r="P235" s="220"/>
      <c r="Q235" s="274"/>
      <c r="R235" s="217" t="str">
        <f ca="1">IF(ISERROR($V235),"",OFFSET('Smelter Look-up'!$C$4,$V235-4,0)&amp;"")</f>
        <v>Jiangwu H.C. Starck Tungsten Products Co., Ltd.</v>
      </c>
      <c r="S235" s="225" t="str">
        <f t="shared" ca="1" si="33"/>
        <v>CN</v>
      </c>
      <c r="T235" s="225" t="str">
        <f ca="1">IF(B235="","",IF(ISERROR(MATCH($J235,SorP!$B$1:$B$6230,0)),"",INDIRECT("'SorP'!$A$"&amp;MATCH($J235,SorP!$B$1:$B$6230,0))))</f>
        <v>CN-JX</v>
      </c>
      <c r="U235" s="241"/>
      <c r="V235" s="275">
        <f ca="1">IF(C235="",NA(),MATCH($B235&amp;$C235,'Smelter Look-up'!$J:$J,0))</f>
        <v>526</v>
      </c>
      <c r="W235" s="276"/>
      <c r="X235" s="276">
        <f t="shared" ca="1" si="34"/>
        <v>0</v>
      </c>
      <c r="Y235" s="276"/>
      <c r="Z235" s="276"/>
      <c r="AB235" s="278" t="str">
        <f t="shared" ca="1" si="35"/>
        <v>TungstenJiangwu H.C. Starck Tungsten Products Co., Ltd.</v>
      </c>
    </row>
    <row r="236" spans="1:28" s="277" customFormat="1" ht="127.5">
      <c r="A236" s="216" t="s">
        <v>146</v>
      </c>
      <c r="B236" s="217" t="str">
        <f ca="1">IF(LEN(A236)=0,"",INDEX('Smelter Look-up'!$A:$A,MATCH($A236,'Smelter Look-up'!$E:$E,0)))</f>
        <v>Tungsten</v>
      </c>
      <c r="C236" s="221" t="str">
        <f ca="1">IF(LEN(A236)=0,"",INDEX('Smelter Look-up'!$C:$C,MATCH($A236,'Smelter Look-up'!$E:$E,0)))</f>
        <v>Jiangxi Tonggu Non-ferrous Metallurgical &amp; Chemical Co., Ltd.</v>
      </c>
      <c r="D236" s="283"/>
      <c r="E236" s="217" t="str">
        <f ca="1">IF(ISERROR($V236),"",OFFSET('Smelter Look-up'!$D$4,$V236-4,0)&amp;"")</f>
        <v>CHINA</v>
      </c>
      <c r="F236" s="217" t="str">
        <f ca="1">IF(ISERROR($V236),"",OFFSET('Smelter Look-up'!$E$4,$V236-4,0))</f>
        <v>CID002318</v>
      </c>
      <c r="G236" s="217" t="str">
        <f ca="1">IF(C236=$X$4,"Enter smelter details",IF(ISERROR($V236),"",OFFSET('Smelter Look-up'!$F$4,$V236-4,0)))</f>
        <v>RMI</v>
      </c>
      <c r="H236" s="218">
        <f ca="1">IF(ISERROR($V236),"",OFFSET('Smelter Look-up'!$G$4,$V236-4,0))</f>
        <v>0</v>
      </c>
      <c r="I236" s="219" t="str">
        <f ca="1">IF(ISERROR($V236),"",OFFSET('Smelter Look-up'!$H$4,$V236-4,0))</f>
        <v>Tonggu</v>
      </c>
      <c r="J236" s="219" t="str">
        <f ca="1">IF(ISERROR($V236),"",OFFSET('Smelter Look-up'!$I$4,$V236-4,0))</f>
        <v>Jiangxi Sheng</v>
      </c>
      <c r="K236" s="273"/>
      <c r="L236" s="273"/>
      <c r="M236" s="273"/>
      <c r="N236" s="273"/>
      <c r="O236" s="273"/>
      <c r="P236" s="220"/>
      <c r="Q236" s="274"/>
      <c r="R236" s="217" t="str">
        <f ca="1">IF(ISERROR($V236),"",OFFSET('Smelter Look-up'!$C$4,$V236-4,0)&amp;"")</f>
        <v>Jiangxi Tonggu Non-ferrous Metallurgical &amp; Chemical Co., Ltd.</v>
      </c>
      <c r="S236" s="225" t="str">
        <f t="shared" ca="1" si="33"/>
        <v>CN</v>
      </c>
      <c r="T236" s="225" t="str">
        <f ca="1">IF(B236="","",IF(ISERROR(MATCH($J236,SorP!$B$1:$B$6230,0)),"",INDIRECT("'SorP'!$A$"&amp;MATCH($J236,SorP!$B$1:$B$6230,0))))</f>
        <v>CN-JX</v>
      </c>
      <c r="U236" s="241"/>
      <c r="V236" s="275">
        <f ca="1">IF(C236="",NA(),MATCH($B236&amp;$C236,'Smelter Look-up'!$J:$J,0))</f>
        <v>530</v>
      </c>
      <c r="W236" s="276"/>
      <c r="X236" s="276">
        <f t="shared" ca="1" si="34"/>
        <v>0</v>
      </c>
      <c r="Y236" s="276"/>
      <c r="Z236" s="276"/>
      <c r="AB236" s="278" t="str">
        <f t="shared" ca="1" si="35"/>
        <v>TungstenJiangxi Tonggu Non-ferrous Metallurgical &amp; Chemical Co., Ltd.</v>
      </c>
    </row>
    <row r="237" spans="1:28" s="277" customFormat="1" ht="89.25">
      <c r="A237" s="216" t="s">
        <v>144</v>
      </c>
      <c r="B237" s="217" t="str">
        <f ca="1">IF(LEN(A237)=0,"",INDEX('Smelter Look-up'!$A:$A,MATCH($A237,'Smelter Look-up'!$E:$E,0)))</f>
        <v>Tungsten</v>
      </c>
      <c r="C237" s="221" t="str">
        <f ca="1">IF(LEN(A237)=0,"",INDEX('Smelter Look-up'!$C:$C,MATCH($A237,'Smelter Look-up'!$E:$E,0)))</f>
        <v>Jiangxi Yaosheng Tungsten Co., Ltd.</v>
      </c>
      <c r="D237" s="283"/>
      <c r="E237" s="217" t="str">
        <f ca="1">IF(ISERROR($V237),"",OFFSET('Smelter Look-up'!$D$4,$V237-4,0)&amp;"")</f>
        <v>CHINA</v>
      </c>
      <c r="F237" s="217" t="str">
        <f ca="1">IF(ISERROR($V237),"",OFFSET('Smelter Look-up'!$E$4,$V237-4,0))</f>
        <v>CID002316</v>
      </c>
      <c r="G237" s="217" t="str">
        <f ca="1">IF(C237=$X$4,"Enter smelter details",IF(ISERROR($V237),"",OFFSET('Smelter Look-up'!$F$4,$V237-4,0)))</f>
        <v>RMI</v>
      </c>
      <c r="H237" s="218">
        <f ca="1">IF(ISERROR($V237),"",OFFSET('Smelter Look-up'!$G$4,$V237-4,0))</f>
        <v>0</v>
      </c>
      <c r="I237" s="219" t="str">
        <f ca="1">IF(ISERROR($V237),"",OFFSET('Smelter Look-up'!$H$4,$V237-4,0))</f>
        <v>Ganzhou</v>
      </c>
      <c r="J237" s="219" t="str">
        <f ca="1">IF(ISERROR($V237),"",OFFSET('Smelter Look-up'!$I$4,$V237-4,0))</f>
        <v>Jiangxi Sheng</v>
      </c>
      <c r="K237" s="273"/>
      <c r="L237" s="273"/>
      <c r="M237" s="273"/>
      <c r="N237" s="273"/>
      <c r="O237" s="273"/>
      <c r="P237" s="220"/>
      <c r="Q237" s="274"/>
      <c r="R237" s="217" t="str">
        <f ca="1">IF(ISERROR($V237),"",OFFSET('Smelter Look-up'!$C$4,$V237-4,0)&amp;"")</f>
        <v>Jiangxi Yaosheng Tungsten Co., Ltd.</v>
      </c>
      <c r="S237" s="225" t="str">
        <f t="shared" ca="1" si="33"/>
        <v>CN</v>
      </c>
      <c r="T237" s="225" t="str">
        <f ca="1">IF(B237="","",IF(ISERROR(MATCH($J237,SorP!$B$1:$B$6230,0)),"",INDIRECT("'SorP'!$A$"&amp;MATCH($J237,SorP!$B$1:$B$6230,0))))</f>
        <v>CN-JX</v>
      </c>
      <c r="U237" s="241"/>
      <c r="V237" s="275">
        <f ca="1">IF(C237="",NA(),MATCH($B237&amp;$C237,'Smelter Look-up'!$J:$J,0))</f>
        <v>535</v>
      </c>
      <c r="W237" s="276"/>
      <c r="X237" s="276">
        <f t="shared" ca="1" si="34"/>
        <v>0</v>
      </c>
      <c r="Y237" s="276"/>
      <c r="Z237" s="276"/>
      <c r="AB237" s="278" t="str">
        <f t="shared" ca="1" si="35"/>
        <v>TungstenJiangxi Yaosheng Tungsten Co., Ltd.</v>
      </c>
    </row>
    <row r="238" spans="1:28" s="277" customFormat="1" ht="51">
      <c r="A238" s="216" t="s">
        <v>820</v>
      </c>
      <c r="B238" s="217" t="str">
        <f ca="1">IF(LEN(A238)=0,"",INDEX('Smelter Look-up'!$A:$A,MATCH($A238,'Smelter Look-up'!$E:$E,0)))</f>
        <v>Tungsten</v>
      </c>
      <c r="C238" s="221" t="str">
        <f ca="1">IF(LEN(A238)=0,"",INDEX('Smelter Look-up'!$C:$C,MATCH($A238,'Smelter Look-up'!$E:$E,0)))</f>
        <v>Kennametal Fallon</v>
      </c>
      <c r="D238" s="283"/>
      <c r="E238" s="217" t="str">
        <f ca="1">IF(ISERROR($V238),"",OFFSET('Smelter Look-up'!$D$4,$V238-4,0)&amp;"")</f>
        <v>UNITED STATES OF AMERICA</v>
      </c>
      <c r="F238" s="217" t="str">
        <f ca="1">IF(ISERROR($V238),"",OFFSET('Smelter Look-up'!$E$4,$V238-4,0))</f>
        <v>CID000966</v>
      </c>
      <c r="G238" s="217" t="str">
        <f ca="1">IF(C238=$X$4,"Enter smelter details",IF(ISERROR($V238),"",OFFSET('Smelter Look-up'!$F$4,$V238-4,0)))</f>
        <v>RMI</v>
      </c>
      <c r="H238" s="218">
        <f ca="1">IF(ISERROR($V238),"",OFFSET('Smelter Look-up'!$G$4,$V238-4,0))</f>
        <v>0</v>
      </c>
      <c r="I238" s="219" t="str">
        <f ca="1">IF(ISERROR($V238),"",OFFSET('Smelter Look-up'!$H$4,$V238-4,0))</f>
        <v>Fallon</v>
      </c>
      <c r="J238" s="219" t="str">
        <f ca="1">IF(ISERROR($V238),"",OFFSET('Smelter Look-up'!$I$4,$V238-4,0))</f>
        <v>Nevada</v>
      </c>
      <c r="K238" s="273"/>
      <c r="L238" s="273"/>
      <c r="M238" s="273"/>
      <c r="N238" s="273"/>
      <c r="O238" s="273"/>
      <c r="P238" s="220"/>
      <c r="Q238" s="274"/>
      <c r="R238" s="217" t="str">
        <f ca="1">IF(ISERROR($V238),"",OFFSET('Smelter Look-up'!$C$4,$V238-4,0)&amp;"")</f>
        <v>Kennametal Fallon</v>
      </c>
      <c r="S238" s="225" t="str">
        <f t="shared" ca="1" si="33"/>
        <v>US</v>
      </c>
      <c r="T238" s="225" t="str">
        <f ca="1">IF(B238="","",IF(ISERROR(MATCH($J238,SorP!$B$1:$B$6230,0)),"",INDIRECT("'SorP'!$A$"&amp;MATCH($J238,SorP!$B$1:$B$6230,0))))</f>
        <v>US-NV</v>
      </c>
      <c r="U238" s="241"/>
      <c r="V238" s="275">
        <f ca="1">IF(C238="",NA(),MATCH($B238&amp;$C238,'Smelter Look-up'!$J:$J,0))</f>
        <v>537</v>
      </c>
      <c r="W238" s="276"/>
      <c r="X238" s="276">
        <f t="shared" ca="1" si="34"/>
        <v>0</v>
      </c>
      <c r="Y238" s="276"/>
      <c r="Z238" s="276"/>
      <c r="AB238" s="278" t="str">
        <f t="shared" ca="1" si="35"/>
        <v>TungstenKennametal Fallon</v>
      </c>
    </row>
    <row r="239" spans="1:28" s="277" customFormat="1" ht="76.5">
      <c r="A239" s="216" t="s">
        <v>147</v>
      </c>
      <c r="B239" s="217" t="str">
        <f ca="1">IF(LEN(A239)=0,"",INDEX('Smelter Look-up'!$A:$A,MATCH($A239,'Smelter Look-up'!$E:$E,0)))</f>
        <v>Tungsten</v>
      </c>
      <c r="C239" s="221" t="str">
        <f ca="1">IF(LEN(A239)=0,"",INDEX('Smelter Look-up'!$C:$C,MATCH($A239,'Smelter Look-up'!$E:$E,0)))</f>
        <v>Malipo Haiyu Tungsten Co., Ltd.</v>
      </c>
      <c r="D239" s="283"/>
      <c r="E239" s="217" t="str">
        <f ca="1">IF(ISERROR($V239),"",OFFSET('Smelter Look-up'!$D$4,$V239-4,0)&amp;"")</f>
        <v>CHINA</v>
      </c>
      <c r="F239" s="217" t="str">
        <f ca="1">IF(ISERROR($V239),"",OFFSET('Smelter Look-up'!$E$4,$V239-4,0))</f>
        <v>CID002319</v>
      </c>
      <c r="G239" s="217" t="str">
        <f ca="1">IF(C239=$X$4,"Enter smelter details",IF(ISERROR($V239),"",OFFSET('Smelter Look-up'!$F$4,$V239-4,0)))</f>
        <v>RMI</v>
      </c>
      <c r="H239" s="218">
        <f ca="1">IF(ISERROR($V239),"",OFFSET('Smelter Look-up'!$G$4,$V239-4,0))</f>
        <v>0</v>
      </c>
      <c r="I239" s="219" t="str">
        <f ca="1">IF(ISERROR($V239),"",OFFSET('Smelter Look-up'!$H$4,$V239-4,0))</f>
        <v>Nanfeng Xiaozhai</v>
      </c>
      <c r="J239" s="219" t="str">
        <f ca="1">IF(ISERROR($V239),"",OFFSET('Smelter Look-up'!$I$4,$V239-4,0))</f>
        <v>Yunnan Sheng</v>
      </c>
      <c r="K239" s="273"/>
      <c r="L239" s="273"/>
      <c r="M239" s="273"/>
      <c r="N239" s="273"/>
      <c r="O239" s="273"/>
      <c r="P239" s="220"/>
      <c r="Q239" s="274"/>
      <c r="R239" s="217" t="str">
        <f ca="1">IF(ISERROR($V239),"",OFFSET('Smelter Look-up'!$C$4,$V239-4,0)&amp;"")</f>
        <v>Malipo Haiyu Tungsten Co., Ltd.</v>
      </c>
      <c r="S239" s="225" t="str">
        <f t="shared" ca="1" si="33"/>
        <v>CN</v>
      </c>
      <c r="T239" s="225" t="str">
        <f ca="1">IF(B239="","",IF(ISERROR(MATCH($J239,SorP!$B$1:$B$6230,0)),"",INDIRECT("'SorP'!$A$"&amp;MATCH($J239,SorP!$B$1:$B$6230,0))))</f>
        <v>CN-YN</v>
      </c>
      <c r="U239" s="241"/>
      <c r="V239" s="275">
        <f ca="1">IF(C239="",NA(),MATCH($B239&amp;$C239,'Smelter Look-up'!$J:$J,0))</f>
        <v>541</v>
      </c>
      <c r="W239" s="276"/>
      <c r="X239" s="276">
        <f t="shared" ca="1" si="34"/>
        <v>0</v>
      </c>
      <c r="Y239" s="276"/>
      <c r="Z239" s="276"/>
      <c r="AB239" s="278" t="str">
        <f t="shared" ca="1" si="35"/>
        <v>TungstenMalipo Haiyu Tungsten Co., Ltd.</v>
      </c>
    </row>
    <row r="240" spans="1:28" s="277" customFormat="1" ht="38.25">
      <c r="A240" s="216" t="s">
        <v>2388</v>
      </c>
      <c r="B240" s="217" t="str">
        <f ca="1">IF(LEN(A240)=0,"",INDEX('Smelter Look-up'!$A:$A,MATCH($A240,'Smelter Look-up'!$E:$E,0)))</f>
        <v>Tungsten</v>
      </c>
      <c r="C240" s="221" t="str">
        <f ca="1">IF(LEN(A240)=0,"",INDEX('Smelter Look-up'!$C:$C,MATCH($A240,'Smelter Look-up'!$E:$E,0)))</f>
        <v>Moliren Ltd.</v>
      </c>
      <c r="D240" s="283"/>
      <c r="E240" s="217" t="str">
        <f ca="1">IF(ISERROR($V240),"",OFFSET('Smelter Look-up'!$D$4,$V240-4,0)&amp;"")</f>
        <v>RUSSIAN FEDERATION</v>
      </c>
      <c r="F240" s="217" t="str">
        <f ca="1">IF(ISERROR($V240),"",OFFSET('Smelter Look-up'!$E$4,$V240-4,0))</f>
        <v>CID002845</v>
      </c>
      <c r="G240" s="217" t="str">
        <f ca="1">IF(C240=$X$4,"Enter smelter details",IF(ISERROR($V240),"",OFFSET('Smelter Look-up'!$F$4,$V240-4,0)))</f>
        <v>RMI</v>
      </c>
      <c r="H240" s="218">
        <f ca="1">IF(ISERROR($V240),"",OFFSET('Smelter Look-up'!$G$4,$V240-4,0))</f>
        <v>0</v>
      </c>
      <c r="I240" s="219" t="str">
        <f ca="1">IF(ISERROR($V240),"",OFFSET('Smelter Look-up'!$H$4,$V240-4,0))</f>
        <v>Roshal</v>
      </c>
      <c r="J240" s="219" t="str">
        <f ca="1">IF(ISERROR($V240),"",OFFSET('Smelter Look-up'!$I$4,$V240-4,0))</f>
        <v>Moskovskaja oblast'</v>
      </c>
      <c r="K240" s="273"/>
      <c r="L240" s="273"/>
      <c r="M240" s="273"/>
      <c r="N240" s="273"/>
      <c r="O240" s="273"/>
      <c r="P240" s="220"/>
      <c r="Q240" s="274"/>
      <c r="R240" s="217" t="str">
        <f ca="1">IF(ISERROR($V240),"",OFFSET('Smelter Look-up'!$C$4,$V240-4,0)&amp;"")</f>
        <v>Moliren Ltd.</v>
      </c>
      <c r="S240" s="225" t="str">
        <f t="shared" ca="1" si="33"/>
        <v>RU</v>
      </c>
      <c r="T240" s="225" t="str">
        <f ca="1">IF(B240="","",IF(ISERROR(MATCH($J240,SorP!$B$1:$B$6230,0)),"",INDIRECT("'SorP'!$A$"&amp;MATCH($J240,SorP!$B$1:$B$6230,0))))</f>
        <v>RU-MOS</v>
      </c>
      <c r="U240" s="241"/>
      <c r="V240" s="275">
        <f ca="1">IF(C240="",NA(),MATCH($B240&amp;$C240,'Smelter Look-up'!$J:$J,0))</f>
        <v>543</v>
      </c>
      <c r="W240" s="276"/>
      <c r="X240" s="276">
        <f t="shared" ca="1" si="34"/>
        <v>0</v>
      </c>
      <c r="Y240" s="276"/>
      <c r="Z240" s="276"/>
      <c r="AB240" s="278" t="str">
        <f t="shared" ca="1" si="35"/>
        <v>TungstenMoliren Ltd.</v>
      </c>
    </row>
    <row r="241" spans="1:28" s="277" customFormat="1" ht="102">
      <c r="A241" s="216" t="s">
        <v>2390</v>
      </c>
      <c r="B241" s="217" t="str">
        <f ca="1">IF(LEN(A241)=0,"",INDEX('Smelter Look-up'!$A:$A,MATCH($A241,'Smelter Look-up'!$E:$E,0)))</f>
        <v>Tungsten</v>
      </c>
      <c r="C241" s="221" t="str">
        <f ca="1">IF(LEN(A241)=0,"",INDEX('Smelter Look-up'!$C:$C,MATCH($A241,'Smelter Look-up'!$E:$E,0)))</f>
        <v>Philippine Chuangxin Industrial Co., Inc.</v>
      </c>
      <c r="D241" s="283"/>
      <c r="E241" s="217" t="str">
        <f ca="1">IF(ISERROR($V241),"",OFFSET('Smelter Look-up'!$D$4,$V241-4,0)&amp;"")</f>
        <v>PHILIPPINES</v>
      </c>
      <c r="F241" s="217" t="str">
        <f ca="1">IF(ISERROR($V241),"",OFFSET('Smelter Look-up'!$E$4,$V241-4,0))</f>
        <v>CID002827</v>
      </c>
      <c r="G241" s="217" t="str">
        <f ca="1">IF(C241=$X$4,"Enter smelter details",IF(ISERROR($V241),"",OFFSET('Smelter Look-up'!$F$4,$V241-4,0)))</f>
        <v>RMI</v>
      </c>
      <c r="H241" s="218">
        <f ca="1">IF(ISERROR($V241),"",OFFSET('Smelter Look-up'!$G$4,$V241-4,0))</f>
        <v>0</v>
      </c>
      <c r="I241" s="219" t="str">
        <f ca="1">IF(ISERROR($V241),"",OFFSET('Smelter Look-up'!$H$4,$V241-4,0))</f>
        <v>Marilao</v>
      </c>
      <c r="J241" s="219" t="str">
        <f ca="1">IF(ISERROR($V241),"",OFFSET('Smelter Look-up'!$I$4,$V241-4,0))</f>
        <v>Bulacan</v>
      </c>
      <c r="K241" s="273"/>
      <c r="L241" s="273"/>
      <c r="M241" s="273"/>
      <c r="N241" s="273"/>
      <c r="O241" s="273"/>
      <c r="P241" s="220"/>
      <c r="Q241" s="274"/>
      <c r="R241" s="217" t="str">
        <f ca="1">IF(ISERROR($V241),"",OFFSET('Smelter Look-up'!$C$4,$V241-4,0)&amp;"")</f>
        <v>Philippine Chuangxin Industrial Co., Inc.</v>
      </c>
      <c r="S241" s="225" t="str">
        <f t="shared" ca="1" si="33"/>
        <v>PH</v>
      </c>
      <c r="T241" s="225" t="str">
        <f ca="1">IF(B241="","",IF(ISERROR(MATCH($J241,SorP!$B$1:$B$6230,0)),"",INDIRECT("'SorP'!$A$"&amp;MATCH($J241,SorP!$B$1:$B$6230,0))))</f>
        <v>PH-BUL</v>
      </c>
      <c r="U241" s="241"/>
      <c r="V241" s="275">
        <f ca="1">IF(C241="",NA(),MATCH($B241&amp;$C241,'Smelter Look-up'!$J:$J,0))</f>
        <v>547</v>
      </c>
      <c r="W241" s="276"/>
      <c r="X241" s="276">
        <f t="shared" ca="1" si="34"/>
        <v>0</v>
      </c>
      <c r="Y241" s="276"/>
      <c r="Z241" s="276"/>
      <c r="AB241" s="278" t="str">
        <f t="shared" ca="1" si="35"/>
        <v>TungstenPhilippine Chuangxin Industrial Co., Inc.</v>
      </c>
    </row>
    <row r="242" spans="1:28" s="277" customFormat="1" ht="140.25">
      <c r="A242" s="216" t="s">
        <v>2394</v>
      </c>
      <c r="B242" s="217" t="str">
        <f ca="1">IF(LEN(A242)=0,"",INDEX('Smelter Look-up'!$A:$A,MATCH($A242,'Smelter Look-up'!$E:$E,0)))</f>
        <v>Tungsten</v>
      </c>
      <c r="C242" s="221" t="str">
        <f ca="1">IF(LEN(A242)=0,"",INDEX('Smelter Look-up'!$C:$C,MATCH($A242,'Smelter Look-up'!$E:$E,0)))</f>
        <v>South-East Nonferrous Metal Company Limited of Hengyang City</v>
      </c>
      <c r="D242" s="283"/>
      <c r="E242" s="217" t="str">
        <f ca="1">IF(ISERROR($V242),"",OFFSET('Smelter Look-up'!$D$4,$V242-4,0)&amp;"")</f>
        <v>CHINA</v>
      </c>
      <c r="F242" s="217" t="str">
        <f ca="1">IF(ISERROR($V242),"",OFFSET('Smelter Look-up'!$E$4,$V242-4,0))</f>
        <v>CID002815</v>
      </c>
      <c r="G242" s="217" t="str">
        <f ca="1">IF(C242=$X$4,"Enter smelter details",IF(ISERROR($V242),"",OFFSET('Smelter Look-up'!$F$4,$V242-4,0)))</f>
        <v>RMI</v>
      </c>
      <c r="H242" s="218">
        <f ca="1">IF(ISERROR($V242),"",OFFSET('Smelter Look-up'!$G$4,$V242-4,0))</f>
        <v>0</v>
      </c>
      <c r="I242" s="219" t="str">
        <f ca="1">IF(ISERROR($V242),"",OFFSET('Smelter Look-up'!$H$4,$V242-4,0))</f>
        <v>Hengyang</v>
      </c>
      <c r="J242" s="219" t="str">
        <f ca="1">IF(ISERROR($V242),"",OFFSET('Smelter Look-up'!$I$4,$V242-4,0))</f>
        <v>Hunan Sheng</v>
      </c>
      <c r="K242" s="273"/>
      <c r="L242" s="273"/>
      <c r="M242" s="273"/>
      <c r="N242" s="273"/>
      <c r="O242" s="273"/>
      <c r="P242" s="220"/>
      <c r="Q242" s="274"/>
      <c r="R242" s="217" t="str">
        <f ca="1">IF(ISERROR($V242),"",OFFSET('Smelter Look-up'!$C$4,$V242-4,0)&amp;"")</f>
        <v>South-East Nonferrous Metal Company Limited of Hengyang City</v>
      </c>
      <c r="S242" s="225" t="str">
        <f t="shared" ca="1" si="33"/>
        <v>CN</v>
      </c>
      <c r="T242" s="225" t="str">
        <f ca="1">IF(B242="","",IF(ISERROR(MATCH($J242,SorP!$B$1:$B$6230,0)),"",INDIRECT("'SorP'!$A$"&amp;MATCH($J242,SorP!$B$1:$B$6230,0))))</f>
        <v>CN-HN</v>
      </c>
      <c r="U242" s="241"/>
      <c r="V242" s="275">
        <f ca="1">IF(C242="",NA(),MATCH($B242&amp;$C242,'Smelter Look-up'!$J:$J,0))</f>
        <v>575</v>
      </c>
      <c r="W242" s="276"/>
      <c r="X242" s="276">
        <f t="shared" ca="1" si="34"/>
        <v>0</v>
      </c>
      <c r="Y242" s="276"/>
      <c r="Z242" s="276"/>
      <c r="AB242" s="278" t="str">
        <f t="shared" ca="1" si="35"/>
        <v>TungstenSouth-East Nonferrous Metal Company Limited of Hengyang City</v>
      </c>
    </row>
    <row r="243" spans="1:28" s="277" customFormat="1" ht="89.25">
      <c r="A243" s="216" t="s">
        <v>2592</v>
      </c>
      <c r="B243" s="217" t="str">
        <f ca="1">IF(LEN(A243)=0,"",INDEX('Smelter Look-up'!$A:$A,MATCH($A243,'Smelter Look-up'!$E:$E,0)))</f>
        <v>Tungsten</v>
      </c>
      <c r="C243" s="221" t="str">
        <f ca="1">IF(LEN(A243)=0,"",INDEX('Smelter Look-up'!$C:$C,MATCH($A243,'Smelter Look-up'!$E:$E,0)))</f>
        <v>Unecha Refractory metals plant</v>
      </c>
      <c r="D243" s="283"/>
      <c r="E243" s="217" t="str">
        <f ca="1">IF(ISERROR($V243),"",OFFSET('Smelter Look-up'!$D$4,$V243-4,0)&amp;"")</f>
        <v>RUSSIAN FEDERATION</v>
      </c>
      <c r="F243" s="217" t="str">
        <f ca="1">IF(ISERROR($V243),"",OFFSET('Smelter Look-up'!$E$4,$V243-4,0))</f>
        <v>CID002724</v>
      </c>
      <c r="G243" s="217" t="str">
        <f ca="1">IF(C243=$X$4,"Enter smelter details",IF(ISERROR($V243),"",OFFSET('Smelter Look-up'!$F$4,$V243-4,0)))</f>
        <v>RMI</v>
      </c>
      <c r="H243" s="218">
        <f ca="1">IF(ISERROR($V243),"",OFFSET('Smelter Look-up'!$G$4,$V243-4,0))</f>
        <v>0</v>
      </c>
      <c r="I243" s="219" t="str">
        <f ca="1">IF(ISERROR($V243),"",OFFSET('Smelter Look-up'!$H$4,$V243-4,0))</f>
        <v>Unecha</v>
      </c>
      <c r="J243" s="219" t="str">
        <f ca="1">IF(ISERROR($V243),"",OFFSET('Smelter Look-up'!$I$4,$V243-4,0))</f>
        <v>Bryanskaya oblast'</v>
      </c>
      <c r="K243" s="273"/>
      <c r="L243" s="273"/>
      <c r="M243" s="273"/>
      <c r="N243" s="273"/>
      <c r="O243" s="273"/>
      <c r="P243" s="220"/>
      <c r="Q243" s="274"/>
      <c r="R243" s="217" t="str">
        <f ca="1">IF(ISERROR($V243),"",OFFSET('Smelter Look-up'!$C$4,$V243-4,0)&amp;"")</f>
        <v>Unecha Refractory metals plant</v>
      </c>
      <c r="S243" s="225" t="str">
        <f t="shared" ca="1" si="33"/>
        <v>RU</v>
      </c>
      <c r="T243" s="225" t="str">
        <f ca="1">IF(B243="","",IF(ISERROR(MATCH($J243,SorP!$B$1:$B$6230,0)),"",INDIRECT("'SorP'!$A$"&amp;MATCH($J243,SorP!$B$1:$B$6230,0))))</f>
        <v>RU-BRY</v>
      </c>
      <c r="U243" s="241"/>
      <c r="V243" s="275">
        <f ca="1">IF(C243="",NA(),MATCH($B243&amp;$C243,'Smelter Look-up'!$J:$J,0))</f>
        <v>550</v>
      </c>
      <c r="W243" s="276"/>
      <c r="X243" s="276">
        <f t="shared" ca="1" si="34"/>
        <v>0</v>
      </c>
      <c r="Y243" s="276"/>
      <c r="Z243" s="276"/>
      <c r="AB243" s="278" t="str">
        <f t="shared" ca="1" si="35"/>
        <v>TungstenUnecha Refractory metals plant</v>
      </c>
    </row>
    <row r="244" spans="1:28" s="277" customFormat="1" ht="63.75">
      <c r="A244" s="216" t="s">
        <v>2396</v>
      </c>
      <c r="B244" s="217" t="str">
        <f ca="1">IF(LEN(A244)=0,"",INDEX('Smelter Look-up'!$A:$A,MATCH($A244,'Smelter Look-up'!$E:$E,0)))</f>
        <v>Tungsten</v>
      </c>
      <c r="C244" s="221" t="str">
        <f ca="1">IF(LEN(A244)=0,"",INDEX('Smelter Look-up'!$C:$C,MATCH($A244,'Smelter Look-up'!$E:$E,0)))</f>
        <v>Woltech Korea Co., Ltd.</v>
      </c>
      <c r="D244" s="283"/>
      <c r="E244" s="217" t="str">
        <f ca="1">IF(ISERROR($V244),"",OFFSET('Smelter Look-up'!$D$4,$V244-4,0)&amp;"")</f>
        <v>KOREA, REPUBLIC OF</v>
      </c>
      <c r="F244" s="217" t="str">
        <f ca="1">IF(ISERROR($V244),"",OFFSET('Smelter Look-up'!$E$4,$V244-4,0))</f>
        <v>CID002843</v>
      </c>
      <c r="G244" s="217" t="str">
        <f ca="1">IF(C244=$X$4,"Enter smelter details",IF(ISERROR($V244),"",OFFSET('Smelter Look-up'!$F$4,$V244-4,0)))</f>
        <v>RMI</v>
      </c>
      <c r="H244" s="218">
        <f ca="1">IF(ISERROR($V244),"",OFFSET('Smelter Look-up'!$G$4,$V244-4,0))</f>
        <v>0</v>
      </c>
      <c r="I244" s="219" t="str">
        <f ca="1">IF(ISERROR($V244),"",OFFSET('Smelter Look-up'!$H$4,$V244-4,0))</f>
        <v>Gyeongju-si</v>
      </c>
      <c r="J244" s="219" t="str">
        <f ca="1">IF(ISERROR($V244),"",OFFSET('Smelter Look-up'!$I$4,$V244-4,0))</f>
        <v>Gyeongsangbuk-do</v>
      </c>
      <c r="K244" s="273"/>
      <c r="L244" s="273"/>
      <c r="M244" s="273"/>
      <c r="N244" s="273"/>
      <c r="O244" s="273"/>
      <c r="P244" s="220"/>
      <c r="Q244" s="274"/>
      <c r="R244" s="217" t="str">
        <f ca="1">IF(ISERROR($V244),"",OFFSET('Smelter Look-up'!$C$4,$V244-4,0)&amp;"")</f>
        <v>Woltech Korea Co., Ltd.</v>
      </c>
      <c r="S244" s="225" t="str">
        <f t="shared" ca="1" si="33"/>
        <v>KR</v>
      </c>
      <c r="T244" s="225" t="str">
        <f ca="1">IF(B244="","",IF(ISERROR(MATCH($J244,SorP!$B$1:$B$6230,0)),"",INDIRECT("'SorP'!$A$"&amp;MATCH($J244,SorP!$B$1:$B$6230,0))))</f>
        <v>KR-47</v>
      </c>
      <c r="U244" s="241"/>
      <c r="V244" s="275">
        <f ca="1">IF(C244="",NA(),MATCH($B244&amp;$C244,'Smelter Look-up'!$J:$J,0))</f>
        <v>555</v>
      </c>
      <c r="W244" s="276"/>
      <c r="X244" s="276">
        <f t="shared" ca="1" si="34"/>
        <v>0</v>
      </c>
      <c r="Y244" s="276"/>
      <c r="Z244" s="276"/>
      <c r="AB244" s="278" t="str">
        <f t="shared" ca="1" si="35"/>
        <v>TungstenWoltech Korea Co., Ltd.</v>
      </c>
    </row>
    <row r="245" spans="1:28" s="277" customFormat="1" ht="140.25">
      <c r="A245" s="216" t="s">
        <v>2398</v>
      </c>
      <c r="B245" s="217" t="str">
        <f ca="1">IF(LEN(A245)=0,"",INDEX('Smelter Look-up'!$A:$A,MATCH($A245,'Smelter Look-up'!$E:$E,0)))</f>
        <v>Tungsten</v>
      </c>
      <c r="C245" s="221" t="str">
        <f ca="1">IF(LEN(A245)=0,"",INDEX('Smelter Look-up'!$C:$C,MATCH($A245,'Smelter Look-up'!$E:$E,0)))</f>
        <v>Xinfeng Huarui Tungsten &amp; Molybdenum New Material Co., Ltd.</v>
      </c>
      <c r="D245" s="283"/>
      <c r="E245" s="217" t="str">
        <f ca="1">IF(ISERROR($V245),"",OFFSET('Smelter Look-up'!$D$4,$V245-4,0)&amp;"")</f>
        <v>CHINA</v>
      </c>
      <c r="F245" s="217" t="str">
        <f ca="1">IF(ISERROR($V245),"",OFFSET('Smelter Look-up'!$E$4,$V245-4,0))</f>
        <v>CID002830</v>
      </c>
      <c r="G245" s="217" t="str">
        <f ca="1">IF(C245=$X$4,"Enter smelter details",IF(ISERROR($V245),"",OFFSET('Smelter Look-up'!$F$4,$V245-4,0)))</f>
        <v>RMI</v>
      </c>
      <c r="H245" s="218">
        <f ca="1">IF(ISERROR($V245),"",OFFSET('Smelter Look-up'!$G$4,$V245-4,0))</f>
        <v>0</v>
      </c>
      <c r="I245" s="219" t="str">
        <f ca="1">IF(ISERROR($V245),"",OFFSET('Smelter Look-up'!$H$4,$V245-4,0))</f>
        <v>Ganzhou</v>
      </c>
      <c r="J245" s="219" t="str">
        <f ca="1">IF(ISERROR($V245),"",OFFSET('Smelter Look-up'!$I$4,$V245-4,0))</f>
        <v>Jiangxi Sheng</v>
      </c>
      <c r="K245" s="273"/>
      <c r="L245" s="273"/>
      <c r="M245" s="273"/>
      <c r="N245" s="273"/>
      <c r="O245" s="273"/>
      <c r="P245" s="220"/>
      <c r="Q245" s="274"/>
      <c r="R245" s="217" t="str">
        <f ca="1">IF(ISERROR($V245),"",OFFSET('Smelter Look-up'!$C$4,$V245-4,0)&amp;"")</f>
        <v>Xinfeng Huarui Tungsten &amp; Molybdenum New Material Co., Ltd.</v>
      </c>
      <c r="S245" s="225" t="str">
        <f t="shared" ca="1" si="33"/>
        <v>CN</v>
      </c>
      <c r="T245" s="225" t="str">
        <f ca="1">IF(B245="","",IF(ISERROR(MATCH($J245,SorP!$B$1:$B$6230,0)),"",INDIRECT("'SorP'!$A$"&amp;MATCH($J245,SorP!$B$1:$B$6230,0))))</f>
        <v>CN-JX</v>
      </c>
      <c r="U245" s="241"/>
      <c r="V245" s="275">
        <f ca="1">IF(C245="",NA(),MATCH($B245&amp;$C245,'Smelter Look-up'!$J:$J,0))</f>
        <v>559</v>
      </c>
      <c r="W245" s="276"/>
      <c r="X245" s="276">
        <f t="shared" ca="1" si="34"/>
        <v>0</v>
      </c>
      <c r="Y245" s="276"/>
      <c r="Z245" s="276"/>
      <c r="AB245" s="278" t="str">
        <f t="shared" ca="1" si="35"/>
        <v>TungstenXinfeng Huarui Tungsten &amp; Molybdenum New Material Co., Ltd.</v>
      </c>
    </row>
    <row r="246" spans="1:28" s="277" customFormat="1" ht="102">
      <c r="A246" s="216" t="s">
        <v>2684</v>
      </c>
      <c r="B246" s="217" t="str">
        <f ca="1">IF(LEN(A246)=0,"",INDEX('Smelter Look-up'!$A:$A,MATCH($A246,'Smelter Look-up'!$E:$E,0)))</f>
        <v>Tungsten</v>
      </c>
      <c r="C246" s="221" t="str">
        <f ca="1">IF(LEN(A246)=0,"",INDEX('Smelter Look-up'!$C:$C,MATCH($A246,'Smelter Look-up'!$E:$E,0)))</f>
        <v>Ganzhou Haichuang Tungsten Co., Ltd.</v>
      </c>
      <c r="D246" s="283"/>
      <c r="E246" s="217" t="str">
        <f ca="1">IF(ISERROR($V246),"",OFFSET('Smelter Look-up'!$D$4,$V246-4,0)&amp;"")</f>
        <v>CHINA</v>
      </c>
      <c r="F246" s="217" t="str">
        <f ca="1">IF(ISERROR($V246),"",OFFSET('Smelter Look-up'!$E$4,$V246-4,0))</f>
        <v>CID002645</v>
      </c>
      <c r="G246" s="217" t="str">
        <f ca="1">IF(C246=$X$4,"Enter smelter details",IF(ISERROR($V246),"",OFFSET('Smelter Look-up'!$F$4,$V246-4,0)))</f>
        <v>RMI</v>
      </c>
      <c r="H246" s="218">
        <f ca="1">IF(ISERROR($V246),"",OFFSET('Smelter Look-up'!$G$4,$V246-4,0))</f>
        <v>0</v>
      </c>
      <c r="I246" s="219" t="str">
        <f ca="1">IF(ISERROR($V246),"",OFFSET('Smelter Look-up'!$H$4,$V246-4,0))</f>
        <v>Ganzhou</v>
      </c>
      <c r="J246" s="219" t="str">
        <f ca="1">IF(ISERROR($V246),"",OFFSET('Smelter Look-up'!$I$4,$V246-4,0))</f>
        <v>Jiangxi Sheng</v>
      </c>
      <c r="K246" s="273"/>
      <c r="L246" s="273"/>
      <c r="M246" s="273"/>
      <c r="N246" s="273"/>
      <c r="O246" s="273"/>
      <c r="P246" s="220"/>
      <c r="Q246" s="274"/>
      <c r="R246" s="217" t="str">
        <f ca="1">IF(ISERROR($V246),"",OFFSET('Smelter Look-up'!$C$4,$V246-4,0)&amp;"")</f>
        <v>Ganzhou Haichuang Tungsten Co., Ltd.</v>
      </c>
      <c r="S246" s="225" t="str">
        <f t="shared" ca="1" si="33"/>
        <v>CN</v>
      </c>
      <c r="T246" s="225" t="str">
        <f ca="1">IF(B246="","",IF(ISERROR(MATCH($J246,SorP!$B$1:$B$6230,0)),"",INDIRECT("'SorP'!$A$"&amp;MATCH($J246,SorP!$B$1:$B$6230,0))))</f>
        <v>CN-JX</v>
      </c>
      <c r="U246" s="241"/>
      <c r="V246" s="275">
        <f ca="1">IF(C246="",NA(),MATCH($B246&amp;$C246,'Smelter Look-up'!$J:$J,0))</f>
        <v>507</v>
      </c>
      <c r="W246" s="276"/>
      <c r="X246" s="276">
        <f t="shared" ca="1" si="34"/>
        <v>0</v>
      </c>
      <c r="Y246" s="276"/>
      <c r="Z246" s="276"/>
      <c r="AB246" s="278" t="str">
        <f t="shared" ca="1" si="35"/>
        <v>TungstenGanzhou Haichuang Tungsten Co., Ltd.</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198" priority="183" stopIfTrue="1">
      <formula>IF(B586="",TRUE)</formula>
    </cfRule>
    <cfRule type="expression" dxfId="197" priority="194" stopIfTrue="1">
      <formula>IF(AND(COUNTIF(MetalSmelter,B586&amp;C586)=0,LEN(C586)&gt;0),TRUE,FALSE)</formula>
    </cfRule>
  </conditionalFormatting>
  <conditionalFormatting sqref="D586:D2504">
    <cfRule type="expression" dxfId="196" priority="177" stopIfTrue="1">
      <formula>IF(AND(LEN($C586)&gt;0,($C586&lt;&gt;"Smelter Not Listed")),1,0)</formula>
    </cfRule>
    <cfRule type="expression" dxfId="195" priority="202" stopIfTrue="1">
      <formula>IF(AND(D586="",$C586=$X$4),TRUE)</formula>
    </cfRule>
    <cfRule type="expression" dxfId="194" priority="203" stopIfTrue="1">
      <formula>IF(FIND("!",D586),TRUE)</formula>
    </cfRule>
  </conditionalFormatting>
  <conditionalFormatting sqref="G586:G2504">
    <cfRule type="expression" dxfId="193" priority="204" stopIfTrue="1">
      <formula>IF(FIND("Enter smelter details",G586),TRUE)</formula>
    </cfRule>
  </conditionalFormatting>
  <conditionalFormatting sqref="R586:R2505 E586:E2504">
    <cfRule type="expression" dxfId="192" priority="190" stopIfTrue="1">
      <formula>IF(AND(E586="",$C586=$X$4),TRUE)</formula>
    </cfRule>
    <cfRule type="expression" dxfId="191" priority="191" stopIfTrue="1">
      <formula>IF(FIND("!",E586),TRUE)</formula>
    </cfRule>
  </conditionalFormatting>
  <conditionalFormatting sqref="F586:F2504">
    <cfRule type="expression" dxfId="190" priority="181" stopIfTrue="1">
      <formula>IF(AND(LEN($A586)&gt;0,$A586&lt;&gt;$F586),TRUE,FALSE)</formula>
    </cfRule>
  </conditionalFormatting>
  <conditionalFormatting sqref="C586:C2504">
    <cfRule type="expression" dxfId="189" priority="180" stopIfTrue="1">
      <formula>IF(AND(B586&lt;&gt;"",C586=""),TRUE)</formula>
    </cfRule>
  </conditionalFormatting>
  <conditionalFormatting sqref="B21:B107 B5:B19 B109:B585">
    <cfRule type="expression" dxfId="188" priority="159" stopIfTrue="1">
      <formula>IF(B5="",TRUE)</formula>
    </cfRule>
    <cfRule type="expression" dxfId="187" priority="162" stopIfTrue="1">
      <formula>IF(AND(COUNTIF(MetalSmelter,B5&amp;C5)=0,LEN(C5)&gt;0),TRUE,FALSE)</formula>
    </cfRule>
  </conditionalFormatting>
  <conditionalFormatting sqref="D5:D19 D21:D107 D109:D585">
    <cfRule type="expression" dxfId="186" priority="156" stopIfTrue="1">
      <formula>IF(AND(LEN($C5)&gt;0,($C5&lt;&gt;"Smelter Not Listed")),1,0)</formula>
    </cfRule>
    <cfRule type="expression" dxfId="185" priority="163" stopIfTrue="1">
      <formula>IF(AND(D5="",$C5=$X$4),TRUE)</formula>
    </cfRule>
    <cfRule type="expression" dxfId="184" priority="164" stopIfTrue="1">
      <formula>IF(FIND("!",D5),TRUE)</formula>
    </cfRule>
  </conditionalFormatting>
  <conditionalFormatting sqref="G5:G19 G21:G55 G109:G146 G148:G154 G164:G169 G175 G177:G182 G184 G187 G191 G193:G201 G205 G57:G107 G157 G159:G162 G207:G585">
    <cfRule type="expression" dxfId="183" priority="165" stopIfTrue="1">
      <formula>IF(FIND("Enter smelter details",G5),TRUE)</formula>
    </cfRule>
  </conditionalFormatting>
  <conditionalFormatting sqref="R5:R585 E5:E19 E21:E55 E109:E123 E125:E140 E142 E144 E148:E154 E164:E169 E175 E177:E182 E184 E187 E191 E193:E201 E205 E57:E107 E157 E159:E162 E207:E585">
    <cfRule type="expression" dxfId="182" priority="160" stopIfTrue="1">
      <formula>IF(AND(E5="",$C5=$X$4),TRUE)</formula>
    </cfRule>
    <cfRule type="expression" dxfId="181" priority="161" stopIfTrue="1">
      <formula>IF(FIND("!",E5),TRUE)</formula>
    </cfRule>
  </conditionalFormatting>
  <conditionalFormatting sqref="F5:F19 F21:F55 F109:F123 F125:F140 F142 F144 F148:F154 F164:F169 F175 F177:F182 F184 F187 F191 F193:F201 F205 F57:F107 F157 F159:F162 F207:F585">
    <cfRule type="expression" dxfId="180" priority="158" stopIfTrue="1">
      <formula>IF(AND(LEN($A5)&gt;0,$A5&lt;&gt;$F5),TRUE,FALSE)</formula>
    </cfRule>
  </conditionalFormatting>
  <conditionalFormatting sqref="C21:C55 C5:C19 C109:C123 C125:C140 C142 C144 C148:C154 C164:C169 C175 C177:C182 C184 C187 C191 C193:C201 C205 C57:C107 C157 C159:C162 C207:C585">
    <cfRule type="expression" dxfId="179" priority="157" stopIfTrue="1">
      <formula>IF(AND(B5&lt;&gt;"",C5=""),TRUE)</formula>
    </cfRule>
  </conditionalFormatting>
  <conditionalFormatting sqref="B20">
    <cfRule type="expression" dxfId="178" priority="149" stopIfTrue="1">
      <formula>IF(B20="",TRUE)</formula>
    </cfRule>
    <cfRule type="expression" dxfId="177" priority="152" stopIfTrue="1">
      <formula>IF(AND(COUNTIF(MetalSmelter,B20&amp;C20)=0,LEN(C20)&gt;0),TRUE,FALSE)</formula>
    </cfRule>
  </conditionalFormatting>
  <conditionalFormatting sqref="D20">
    <cfRule type="expression" dxfId="176" priority="146" stopIfTrue="1">
      <formula>IF(AND(LEN($C20)&gt;0,($C20&lt;&gt;"Smelter Not Listed")),1,0)</formula>
    </cfRule>
    <cfRule type="expression" dxfId="175" priority="153" stopIfTrue="1">
      <formula>IF(AND(D20="",$C20=$X$4),TRUE)</formula>
    </cfRule>
    <cfRule type="expression" dxfId="174" priority="154" stopIfTrue="1">
      <formula>IF(FIND("!",D20),TRUE)</formula>
    </cfRule>
  </conditionalFormatting>
  <conditionalFormatting sqref="G20">
    <cfRule type="expression" dxfId="173" priority="155" stopIfTrue="1">
      <formula>IF(FIND("Enter smelter details",G20),TRUE)</formula>
    </cfRule>
  </conditionalFormatting>
  <conditionalFormatting sqref="E20">
    <cfRule type="expression" dxfId="172" priority="150" stopIfTrue="1">
      <formula>IF(AND(E20="",$C20=$X$4),TRUE)</formula>
    </cfRule>
    <cfRule type="expression" dxfId="171" priority="151" stopIfTrue="1">
      <formula>IF(FIND("!",E20),TRUE)</formula>
    </cfRule>
  </conditionalFormatting>
  <conditionalFormatting sqref="F20">
    <cfRule type="expression" dxfId="170" priority="148" stopIfTrue="1">
      <formula>IF(AND(LEN($A20)&gt;0,$A20&lt;&gt;$F20),TRUE,FALSE)</formula>
    </cfRule>
  </conditionalFormatting>
  <conditionalFormatting sqref="C20">
    <cfRule type="expression" dxfId="169" priority="147" stopIfTrue="1">
      <formula>IF(AND(B20&lt;&gt;"",C20=""),TRUE)</formula>
    </cfRule>
  </conditionalFormatting>
  <conditionalFormatting sqref="B108">
    <cfRule type="expression" dxfId="168" priority="139" stopIfTrue="1">
      <formula>IF(B108="",TRUE)</formula>
    </cfRule>
    <cfRule type="expression" dxfId="167" priority="142" stopIfTrue="1">
      <formula>IF(AND(COUNTIF(MetalSmelter,B108&amp;C108)=0,LEN(C108)&gt;0), TRUE, FALSE)</formula>
    </cfRule>
  </conditionalFormatting>
  <conditionalFormatting sqref="D108">
    <cfRule type="expression" dxfId="166" priority="136" stopIfTrue="1">
      <formula>IF(AND(LEN($C108) &gt;0, ($C108 &lt;&gt; "Smelter Not Listed")),1,0)</formula>
    </cfRule>
    <cfRule type="expression" dxfId="165" priority="143" stopIfTrue="1">
      <formula>IF(AND(D108="",$C108=$X$4),TRUE)</formula>
    </cfRule>
    <cfRule type="expression" dxfId="164" priority="144" stopIfTrue="1">
      <formula>IF(FIND("!",D108),TRUE)</formula>
    </cfRule>
  </conditionalFormatting>
  <conditionalFormatting sqref="G108">
    <cfRule type="expression" dxfId="163" priority="145" stopIfTrue="1">
      <formula>IF(FIND("Enter smelter details",G108),TRUE)</formula>
    </cfRule>
  </conditionalFormatting>
  <conditionalFormatting sqref="E108">
    <cfRule type="expression" dxfId="162" priority="140" stopIfTrue="1">
      <formula>IF(AND(E108="",$C108=$X$4),TRUE)</formula>
    </cfRule>
    <cfRule type="expression" dxfId="161" priority="141" stopIfTrue="1">
      <formula>IF(FIND("!",E108),TRUE)</formula>
    </cfRule>
  </conditionalFormatting>
  <conditionalFormatting sqref="F108">
    <cfRule type="expression" dxfId="160" priority="138" stopIfTrue="1">
      <formula>IF(AND(LEN($A108)&gt;0,$A108&lt;&gt;$F108),TRUE,FALSE)</formula>
    </cfRule>
  </conditionalFormatting>
  <conditionalFormatting sqref="C108">
    <cfRule type="expression" dxfId="159" priority="137" stopIfTrue="1">
      <formula>IF(AND(B108&lt;&gt;"",C108=""),TRUE)</formula>
    </cfRule>
  </conditionalFormatting>
  <conditionalFormatting sqref="C124">
    <cfRule type="expression" dxfId="158" priority="135" stopIfTrue="1">
      <formula>IF(AND(B124&lt;&gt;"",C124=""),TRUE)</formula>
    </cfRule>
  </conditionalFormatting>
  <conditionalFormatting sqref="E124">
    <cfRule type="expression" dxfId="157" priority="133" stopIfTrue="1">
      <formula>IF(AND(E124="",$C124=$X$4),TRUE)</formula>
    </cfRule>
    <cfRule type="expression" dxfId="156" priority="134" stopIfTrue="1">
      <formula>IF(FIND("!",E124),TRUE)</formula>
    </cfRule>
  </conditionalFormatting>
  <conditionalFormatting sqref="F124">
    <cfRule type="expression" dxfId="155" priority="132" stopIfTrue="1">
      <formula>IF(AND(LEN($A124)&gt;0,$A124&lt;&gt;$F124),TRUE,FALSE)</formula>
    </cfRule>
  </conditionalFormatting>
  <conditionalFormatting sqref="C141">
    <cfRule type="expression" dxfId="154" priority="131" stopIfTrue="1">
      <formula>IF(AND(B141&lt;&gt;"",C141=""),TRUE)</formula>
    </cfRule>
  </conditionalFormatting>
  <conditionalFormatting sqref="E141">
    <cfRule type="expression" dxfId="153" priority="129" stopIfTrue="1">
      <formula>IF(AND(E141="",$C141=$X$4),TRUE)</formula>
    </cfRule>
    <cfRule type="expression" dxfId="152" priority="130" stopIfTrue="1">
      <formula>IF(FIND("!",E141),TRUE)</formula>
    </cfRule>
  </conditionalFormatting>
  <conditionalFormatting sqref="F141">
    <cfRule type="expression" dxfId="151" priority="128" stopIfTrue="1">
      <formula>IF(AND(LEN($A141)&gt;0,$A141&lt;&gt;$F141),TRUE,FALSE)</formula>
    </cfRule>
  </conditionalFormatting>
  <conditionalFormatting sqref="C143">
    <cfRule type="expression" dxfId="150" priority="127" stopIfTrue="1">
      <formula>IF(AND(B143&lt;&gt;"",C143=""),TRUE)</formula>
    </cfRule>
  </conditionalFormatting>
  <conditionalFormatting sqref="F143">
    <cfRule type="expression" dxfId="149" priority="126" stopIfTrue="1">
      <formula>IF(AND(LEN($A143)&gt;0,$A143&lt;&gt;$F143),TRUE,FALSE)</formula>
    </cfRule>
  </conditionalFormatting>
  <conditionalFormatting sqref="E143">
    <cfRule type="expression" dxfId="148" priority="124" stopIfTrue="1">
      <formula>IF(AND(E143="",$C143=$X$4),TRUE)</formula>
    </cfRule>
    <cfRule type="expression" dxfId="147" priority="125" stopIfTrue="1">
      <formula>IF(FIND("!",E143),TRUE)</formula>
    </cfRule>
  </conditionalFormatting>
  <conditionalFormatting sqref="C145">
    <cfRule type="expression" dxfId="146" priority="123" stopIfTrue="1">
      <formula>IF(AND(B145&lt;&gt;"",C145=""),TRUE)</formula>
    </cfRule>
  </conditionalFormatting>
  <conditionalFormatting sqref="E145">
    <cfRule type="expression" dxfId="145" priority="121" stopIfTrue="1">
      <formula>IF(AND(E145="",$C145=$X$4),TRUE)</formula>
    </cfRule>
    <cfRule type="expression" dxfId="144" priority="122" stopIfTrue="1">
      <formula>IF(FIND("!",E145),TRUE)</formula>
    </cfRule>
  </conditionalFormatting>
  <conditionalFormatting sqref="F145">
    <cfRule type="expression" dxfId="143" priority="120" stopIfTrue="1">
      <formula>IF(AND(LEN($A145)&gt;0,$A145&lt;&gt;$F145),TRUE,FALSE)</formula>
    </cfRule>
  </conditionalFormatting>
  <conditionalFormatting sqref="C146">
    <cfRule type="expression" dxfId="142" priority="119" stopIfTrue="1">
      <formula>IF(AND(B146&lt;&gt;"",C146=""),TRUE)</formula>
    </cfRule>
  </conditionalFormatting>
  <conditionalFormatting sqref="E146">
    <cfRule type="expression" dxfId="141" priority="117" stopIfTrue="1">
      <formula>IF(AND(E146="",$C146=$X$4),TRUE)</formula>
    </cfRule>
    <cfRule type="expression" dxfId="140" priority="118" stopIfTrue="1">
      <formula>IF(FIND("!",E146),TRUE)</formula>
    </cfRule>
  </conditionalFormatting>
  <conditionalFormatting sqref="F146">
    <cfRule type="expression" dxfId="139" priority="116" stopIfTrue="1">
      <formula>IF(AND(LEN($A146)&gt;0,$A146&lt;&gt;$F146),TRUE,FALSE)</formula>
    </cfRule>
  </conditionalFormatting>
  <conditionalFormatting sqref="C147">
    <cfRule type="expression" dxfId="138" priority="115" stopIfTrue="1">
      <formula>IF(AND(B147&lt;&gt;"",C147=""),TRUE)</formula>
    </cfRule>
  </conditionalFormatting>
  <conditionalFormatting sqref="E147">
    <cfRule type="expression" dxfId="137" priority="113" stopIfTrue="1">
      <formula>IF(AND(E147="",$C147=$X$4),TRUE)</formula>
    </cfRule>
    <cfRule type="expression" dxfId="136" priority="114" stopIfTrue="1">
      <formula>IF(FIND("!",E147),TRUE)</formula>
    </cfRule>
  </conditionalFormatting>
  <conditionalFormatting sqref="F147">
    <cfRule type="expression" dxfId="135" priority="112" stopIfTrue="1">
      <formula>IF(AND(LEN($A147)&gt;0,$A147&lt;&gt;$F147),TRUE,FALSE)</formula>
    </cfRule>
  </conditionalFormatting>
  <conditionalFormatting sqref="G147">
    <cfRule type="expression" dxfId="134" priority="111" stopIfTrue="1">
      <formula>IF(FIND("Enter smelter details",G147),TRUE)</formula>
    </cfRule>
  </conditionalFormatting>
  <conditionalFormatting sqref="C163">
    <cfRule type="expression" dxfId="133" priority="110" stopIfTrue="1">
      <formula>IF(AND(B163&lt;&gt;"",C163=""),TRUE)</formula>
    </cfRule>
  </conditionalFormatting>
  <conditionalFormatting sqref="E163">
    <cfRule type="expression" dxfId="132" priority="108" stopIfTrue="1">
      <formula>IF(AND(E163="",$C163=$X$4),TRUE)</formula>
    </cfRule>
    <cfRule type="expression" dxfId="131" priority="109" stopIfTrue="1">
      <formula>IF(FIND("!",E163),TRUE)</formula>
    </cfRule>
  </conditionalFormatting>
  <conditionalFormatting sqref="F163">
    <cfRule type="expression" dxfId="130" priority="107" stopIfTrue="1">
      <formula>IF(AND(LEN($A163)&gt;0,$A163&lt;&gt;$F163),TRUE,FALSE)</formula>
    </cfRule>
  </conditionalFormatting>
  <conditionalFormatting sqref="G163">
    <cfRule type="expression" dxfId="129" priority="106" stopIfTrue="1">
      <formula>IF(FIND("Enter smelter details",G163),TRUE)</formula>
    </cfRule>
  </conditionalFormatting>
  <conditionalFormatting sqref="C170">
    <cfRule type="expression" dxfId="128" priority="105" stopIfTrue="1">
      <formula>IF(AND(B170&lt;&gt;"",C170=""),TRUE)</formula>
    </cfRule>
  </conditionalFormatting>
  <conditionalFormatting sqref="E170">
    <cfRule type="expression" dxfId="127" priority="103" stopIfTrue="1">
      <formula>IF(AND(E170="",$C170=$X$4),TRUE)</formula>
    </cfRule>
    <cfRule type="expression" dxfId="126" priority="104" stopIfTrue="1">
      <formula>IF(FIND("!",E170),TRUE)</formula>
    </cfRule>
  </conditionalFormatting>
  <conditionalFormatting sqref="F170">
    <cfRule type="expression" dxfId="125" priority="102" stopIfTrue="1">
      <formula>IF(AND(LEN($A170)&gt;0,$A170&lt;&gt;$F170),TRUE,FALSE)</formula>
    </cfRule>
  </conditionalFormatting>
  <conditionalFormatting sqref="G170">
    <cfRule type="expression" dxfId="124" priority="101" stopIfTrue="1">
      <formula>IF(FIND("Enter smelter details",G170),TRUE)</formula>
    </cfRule>
  </conditionalFormatting>
  <conditionalFormatting sqref="C171">
    <cfRule type="expression" dxfId="123" priority="100" stopIfTrue="1">
      <formula>IF(AND(B171&lt;&gt;"",C171=""),TRUE)</formula>
    </cfRule>
  </conditionalFormatting>
  <conditionalFormatting sqref="E171">
    <cfRule type="expression" dxfId="122" priority="98" stopIfTrue="1">
      <formula>IF(AND(E171="",$C171=$X$4),TRUE)</formula>
    </cfRule>
    <cfRule type="expression" dxfId="121" priority="99" stopIfTrue="1">
      <formula>IF(FIND("!",E171),TRUE)</formula>
    </cfRule>
  </conditionalFormatting>
  <conditionalFormatting sqref="F171">
    <cfRule type="expression" dxfId="120" priority="97" stopIfTrue="1">
      <formula>IF(AND(LEN($A171)&gt;0,$A171&lt;&gt;$F171),TRUE,FALSE)</formula>
    </cfRule>
  </conditionalFormatting>
  <conditionalFormatting sqref="G171">
    <cfRule type="expression" dxfId="119" priority="96" stopIfTrue="1">
      <formula>IF(FIND("Enter smelter details",G171),TRUE)</formula>
    </cfRule>
  </conditionalFormatting>
  <conditionalFormatting sqref="C172">
    <cfRule type="expression" dxfId="118" priority="95" stopIfTrue="1">
      <formula>IF(AND(B172&lt;&gt;"",C172=""),TRUE)</formula>
    </cfRule>
  </conditionalFormatting>
  <conditionalFormatting sqref="E172">
    <cfRule type="expression" dxfId="117" priority="93" stopIfTrue="1">
      <formula>IF(AND(E172="",$C172=$X$4),TRUE)</formula>
    </cfRule>
    <cfRule type="expression" dxfId="116" priority="94" stopIfTrue="1">
      <formula>IF(FIND("!",E172),TRUE)</formula>
    </cfRule>
  </conditionalFormatting>
  <conditionalFormatting sqref="F172">
    <cfRule type="expression" dxfId="115" priority="92" stopIfTrue="1">
      <formula>IF(AND(LEN($A172)&gt;0,$A172&lt;&gt;$F172),TRUE,FALSE)</formula>
    </cfRule>
  </conditionalFormatting>
  <conditionalFormatting sqref="G172">
    <cfRule type="expression" dxfId="114" priority="91" stopIfTrue="1">
      <formula>IF(FIND("Enter smelter details",G172),TRUE)</formula>
    </cfRule>
  </conditionalFormatting>
  <conditionalFormatting sqref="C173">
    <cfRule type="expression" dxfId="113" priority="90" stopIfTrue="1">
      <formula>IF(AND(B173&lt;&gt;"",C173=""),TRUE)</formula>
    </cfRule>
  </conditionalFormatting>
  <conditionalFormatting sqref="E173">
    <cfRule type="expression" dxfId="112" priority="88" stopIfTrue="1">
      <formula>IF(AND(E173="",$C173=$X$4),TRUE)</formula>
    </cfRule>
    <cfRule type="expression" dxfId="111" priority="89" stopIfTrue="1">
      <formula>IF(FIND("!",E173),TRUE)</formula>
    </cfRule>
  </conditionalFormatting>
  <conditionalFormatting sqref="F173">
    <cfRule type="expression" dxfId="110" priority="87" stopIfTrue="1">
      <formula>IF(AND(LEN($A173)&gt;0,$A173&lt;&gt;$F173),TRUE,FALSE)</formula>
    </cfRule>
  </conditionalFormatting>
  <conditionalFormatting sqref="G173">
    <cfRule type="expression" dxfId="109" priority="86" stopIfTrue="1">
      <formula>IF(FIND("Enter smelter details",G173),TRUE)</formula>
    </cfRule>
  </conditionalFormatting>
  <conditionalFormatting sqref="C174">
    <cfRule type="expression" dxfId="108" priority="85" stopIfTrue="1">
      <formula>IF(AND(B174&lt;&gt;"",C174=""),TRUE)</formula>
    </cfRule>
  </conditionalFormatting>
  <conditionalFormatting sqref="E174">
    <cfRule type="expression" dxfId="107" priority="83" stopIfTrue="1">
      <formula>IF(AND(E174="",$C174=$X$4),TRUE)</formula>
    </cfRule>
    <cfRule type="expression" dxfId="106" priority="84" stopIfTrue="1">
      <formula>IF(FIND("!",E174),TRUE)</formula>
    </cfRule>
  </conditionalFormatting>
  <conditionalFormatting sqref="F174">
    <cfRule type="expression" dxfId="105" priority="82" stopIfTrue="1">
      <formula>IF(AND(LEN($A174)&gt;0,$A174&lt;&gt;$F174),TRUE,FALSE)</formula>
    </cfRule>
  </conditionalFormatting>
  <conditionalFormatting sqref="G174">
    <cfRule type="expression" dxfId="104" priority="81" stopIfTrue="1">
      <formula>IF(FIND("Enter smelter details",G174),TRUE)</formula>
    </cfRule>
  </conditionalFormatting>
  <conditionalFormatting sqref="C176">
    <cfRule type="expression" dxfId="103" priority="80" stopIfTrue="1">
      <formula>IF(AND(B176&lt;&gt;"",C176=""),TRUE)</formula>
    </cfRule>
  </conditionalFormatting>
  <conditionalFormatting sqref="E176">
    <cfRule type="expression" dxfId="102" priority="78" stopIfTrue="1">
      <formula>IF(AND(E176="",$C176=$X$4),TRUE)</formula>
    </cfRule>
    <cfRule type="expression" dxfId="101" priority="79" stopIfTrue="1">
      <formula>IF(FIND("!",E176),TRUE)</formula>
    </cfRule>
  </conditionalFormatting>
  <conditionalFormatting sqref="F176">
    <cfRule type="expression" dxfId="100" priority="77" stopIfTrue="1">
      <formula>IF(AND(LEN($A176)&gt;0,$A176&lt;&gt;$F176),TRUE,FALSE)</formula>
    </cfRule>
  </conditionalFormatting>
  <conditionalFormatting sqref="G176">
    <cfRule type="expression" dxfId="99" priority="76" stopIfTrue="1">
      <formula>IF(FIND("Enter smelter details",G176),TRUE)</formula>
    </cfRule>
  </conditionalFormatting>
  <conditionalFormatting sqref="C183">
    <cfRule type="expression" dxfId="98" priority="75" stopIfTrue="1">
      <formula>IF(AND(B183&lt;&gt;"",C183=""),TRUE)</formula>
    </cfRule>
  </conditionalFormatting>
  <conditionalFormatting sqref="E183">
    <cfRule type="expression" dxfId="97" priority="73" stopIfTrue="1">
      <formula>IF(AND(E183="",$C183=$X$4),TRUE)</formula>
    </cfRule>
    <cfRule type="expression" dxfId="96" priority="74" stopIfTrue="1">
      <formula>IF(FIND("!",E183),TRUE)</formula>
    </cfRule>
  </conditionalFormatting>
  <conditionalFormatting sqref="F183">
    <cfRule type="expression" dxfId="95" priority="72" stopIfTrue="1">
      <formula>IF(AND(LEN($A183)&gt;0,$A183&lt;&gt;$F183),TRUE,FALSE)</formula>
    </cfRule>
  </conditionalFormatting>
  <conditionalFormatting sqref="G183">
    <cfRule type="expression" dxfId="94" priority="71" stopIfTrue="1">
      <formula>IF(FIND("Enter smelter details",G183),TRUE)</formula>
    </cfRule>
  </conditionalFormatting>
  <conditionalFormatting sqref="C185">
    <cfRule type="expression" dxfId="93" priority="70" stopIfTrue="1">
      <formula>IF(AND(B185&lt;&gt;"",C185=""),TRUE)</formula>
    </cfRule>
  </conditionalFormatting>
  <conditionalFormatting sqref="E185">
    <cfRule type="expression" dxfId="92" priority="68" stopIfTrue="1">
      <formula>IF(AND(E185="",$C185=$X$4),TRUE)</formula>
    </cfRule>
    <cfRule type="expression" dxfId="91" priority="69" stopIfTrue="1">
      <formula>IF(FIND("!",E185),TRUE)</formula>
    </cfRule>
  </conditionalFormatting>
  <conditionalFormatting sqref="F185">
    <cfRule type="expression" dxfId="90" priority="67" stopIfTrue="1">
      <formula>IF(AND(LEN($A185)&gt;0,$A185&lt;&gt;$F185),TRUE,FALSE)</formula>
    </cfRule>
  </conditionalFormatting>
  <conditionalFormatting sqref="G185">
    <cfRule type="expression" dxfId="89" priority="66" stopIfTrue="1">
      <formula>IF(FIND("Enter smelter details",G185),TRUE)</formula>
    </cfRule>
  </conditionalFormatting>
  <conditionalFormatting sqref="C186">
    <cfRule type="expression" dxfId="88" priority="65" stopIfTrue="1">
      <formula>IF(AND(B186&lt;&gt;"",C186=""),TRUE)</formula>
    </cfRule>
  </conditionalFormatting>
  <conditionalFormatting sqref="E186">
    <cfRule type="expression" dxfId="87" priority="63" stopIfTrue="1">
      <formula>IF(AND(E186="",$C186=$X$4),TRUE)</formula>
    </cfRule>
    <cfRule type="expression" dxfId="86" priority="64" stopIfTrue="1">
      <formula>IF(FIND("!",E186),TRUE)</formula>
    </cfRule>
  </conditionalFormatting>
  <conditionalFormatting sqref="F186">
    <cfRule type="expression" dxfId="85" priority="62" stopIfTrue="1">
      <formula>IF(AND(LEN($A186)&gt;0,$A186&lt;&gt;$F186),TRUE,FALSE)</formula>
    </cfRule>
  </conditionalFormatting>
  <conditionalFormatting sqref="G186">
    <cfRule type="expression" dxfId="84" priority="61" stopIfTrue="1">
      <formula>IF(FIND("Enter smelter details",G186),TRUE)</formula>
    </cfRule>
  </conditionalFormatting>
  <conditionalFormatting sqref="C188">
    <cfRule type="expression" dxfId="83" priority="60" stopIfTrue="1">
      <formula>IF(AND(B188&lt;&gt;"",C188=""),TRUE)</formula>
    </cfRule>
  </conditionalFormatting>
  <conditionalFormatting sqref="E188">
    <cfRule type="expression" dxfId="82" priority="58" stopIfTrue="1">
      <formula>IF(AND(E188="",$C188=$X$4),TRUE)</formula>
    </cfRule>
    <cfRule type="expression" dxfId="81" priority="59" stopIfTrue="1">
      <formula>IF(FIND("!",E188),TRUE)</formula>
    </cfRule>
  </conditionalFormatting>
  <conditionalFormatting sqref="F188">
    <cfRule type="expression" dxfId="80" priority="57" stopIfTrue="1">
      <formula>IF(AND(LEN($A188)&gt;0,$A188&lt;&gt;$F188),TRUE,FALSE)</formula>
    </cfRule>
  </conditionalFormatting>
  <conditionalFormatting sqref="G188">
    <cfRule type="expression" dxfId="79" priority="56" stopIfTrue="1">
      <formula>IF(FIND("Enter smelter details",G188),TRUE)</formula>
    </cfRule>
  </conditionalFormatting>
  <conditionalFormatting sqref="C189">
    <cfRule type="expression" dxfId="78" priority="55" stopIfTrue="1">
      <formula>IF(AND(B189&lt;&gt;"",C189=""),TRUE)</formula>
    </cfRule>
  </conditionalFormatting>
  <conditionalFormatting sqref="E189">
    <cfRule type="expression" dxfId="77" priority="53" stopIfTrue="1">
      <formula>IF(AND(E189="",$C189=$X$4),TRUE)</formula>
    </cfRule>
    <cfRule type="expression" dxfId="76" priority="54" stopIfTrue="1">
      <formula>IF(FIND("!",E189),TRUE)</formula>
    </cfRule>
  </conditionalFormatting>
  <conditionalFormatting sqref="F189">
    <cfRule type="expression" dxfId="75" priority="52" stopIfTrue="1">
      <formula>IF(AND(LEN($A189)&gt;0,$A189&lt;&gt;$F189),TRUE,FALSE)</formula>
    </cfRule>
  </conditionalFormatting>
  <conditionalFormatting sqref="G189">
    <cfRule type="expression" dxfId="74" priority="51" stopIfTrue="1">
      <formula>IF(FIND("Enter smelter details",G189),TRUE)</formula>
    </cfRule>
  </conditionalFormatting>
  <conditionalFormatting sqref="C190">
    <cfRule type="expression" dxfId="73" priority="50" stopIfTrue="1">
      <formula>IF(AND(B190&lt;&gt;"",C190=""),TRUE)</formula>
    </cfRule>
  </conditionalFormatting>
  <conditionalFormatting sqref="E190">
    <cfRule type="expression" dxfId="72" priority="48" stopIfTrue="1">
      <formula>IF(AND(E190="",$C190=$X$4),TRUE)</formula>
    </cfRule>
    <cfRule type="expression" dxfId="71" priority="49" stopIfTrue="1">
      <formula>IF(FIND("!",E190),TRUE)</formula>
    </cfRule>
  </conditionalFormatting>
  <conditionalFormatting sqref="F190">
    <cfRule type="expression" dxfId="70" priority="47" stopIfTrue="1">
      <formula>IF(AND(LEN($A190)&gt;0,$A190&lt;&gt;$F190),TRUE,FALSE)</formula>
    </cfRule>
  </conditionalFormatting>
  <conditionalFormatting sqref="G190">
    <cfRule type="expression" dxfId="69" priority="46" stopIfTrue="1">
      <formula>IF(FIND("Enter smelter details",G190),TRUE)</formula>
    </cfRule>
  </conditionalFormatting>
  <conditionalFormatting sqref="C192">
    <cfRule type="expression" dxfId="68" priority="45" stopIfTrue="1">
      <formula>IF(AND(B192&lt;&gt;"",C192=""),TRUE)</formula>
    </cfRule>
  </conditionalFormatting>
  <conditionalFormatting sqref="E192">
    <cfRule type="expression" dxfId="67" priority="43" stopIfTrue="1">
      <formula>IF(AND(E192="",$C192=$X$4),TRUE)</formula>
    </cfRule>
    <cfRule type="expression" dxfId="66" priority="44" stopIfTrue="1">
      <formula>IF(FIND("!",E192),TRUE)</formula>
    </cfRule>
  </conditionalFormatting>
  <conditionalFormatting sqref="F192">
    <cfRule type="expression" dxfId="65" priority="42" stopIfTrue="1">
      <formula>IF(AND(LEN($A192)&gt;0,$A192&lt;&gt;$F192),TRUE,FALSE)</formula>
    </cfRule>
  </conditionalFormatting>
  <conditionalFormatting sqref="G192">
    <cfRule type="expression" dxfId="64" priority="41" stopIfTrue="1">
      <formula>IF(FIND("Enter smelter details",G192),TRUE)</formula>
    </cfRule>
  </conditionalFormatting>
  <conditionalFormatting sqref="C202">
    <cfRule type="expression" dxfId="63" priority="40" stopIfTrue="1">
      <formula>IF(AND(B202&lt;&gt;"",C202=""),TRUE)</formula>
    </cfRule>
  </conditionalFormatting>
  <conditionalFormatting sqref="E202">
    <cfRule type="expression" dxfId="62" priority="38" stopIfTrue="1">
      <formula>IF(AND(E202="",$C202=$X$4),TRUE)</formula>
    </cfRule>
    <cfRule type="expression" dxfId="61" priority="39" stopIfTrue="1">
      <formula>IF(FIND("!",E202),TRUE)</formula>
    </cfRule>
  </conditionalFormatting>
  <conditionalFormatting sqref="F202">
    <cfRule type="expression" dxfId="60" priority="37" stopIfTrue="1">
      <formula>IF(AND(LEN($A202)&gt;0,$A202&lt;&gt;$F202),TRUE,FALSE)</formula>
    </cfRule>
  </conditionalFormatting>
  <conditionalFormatting sqref="G202">
    <cfRule type="expression" dxfId="59" priority="36" stopIfTrue="1">
      <formula>IF(FIND("Enter smelter details",G202),TRUE)</formula>
    </cfRule>
  </conditionalFormatting>
  <conditionalFormatting sqref="C203">
    <cfRule type="expression" dxfId="58" priority="35" stopIfTrue="1">
      <formula>IF(AND(B203&lt;&gt;"",C203=""),TRUE)</formula>
    </cfRule>
  </conditionalFormatting>
  <conditionalFormatting sqref="E203">
    <cfRule type="expression" dxfId="57" priority="33" stopIfTrue="1">
      <formula>IF(AND(E203="",$C203=$X$4),TRUE)</formula>
    </cfRule>
    <cfRule type="expression" dxfId="56" priority="34" stopIfTrue="1">
      <formula>IF(FIND("!",E203),TRUE)</formula>
    </cfRule>
  </conditionalFormatting>
  <conditionalFormatting sqref="F203">
    <cfRule type="expression" dxfId="55" priority="32" stopIfTrue="1">
      <formula>IF(AND(LEN($A203)&gt;0,$A203&lt;&gt;$F203),TRUE,FALSE)</formula>
    </cfRule>
  </conditionalFormatting>
  <conditionalFormatting sqref="G203">
    <cfRule type="expression" dxfId="54" priority="31" stopIfTrue="1">
      <formula>IF(FIND("Enter smelter details",G203),TRUE)</formula>
    </cfRule>
  </conditionalFormatting>
  <conditionalFormatting sqref="C204">
    <cfRule type="expression" dxfId="53" priority="30" stopIfTrue="1">
      <formula>IF(AND(B204&lt;&gt;"",C204=""),TRUE)</formula>
    </cfRule>
  </conditionalFormatting>
  <conditionalFormatting sqref="E204">
    <cfRule type="expression" dxfId="52" priority="28" stopIfTrue="1">
      <formula>IF(AND(E204="",$C204=$X$4),TRUE)</formula>
    </cfRule>
    <cfRule type="expression" dxfId="51" priority="29" stopIfTrue="1">
      <formula>IF(FIND("!",E204),TRUE)</formula>
    </cfRule>
  </conditionalFormatting>
  <conditionalFormatting sqref="F204">
    <cfRule type="expression" dxfId="50" priority="27" stopIfTrue="1">
      <formula>IF(AND(LEN($A204)&gt;0,$A204&lt;&gt;$F204),TRUE,FALSE)</formula>
    </cfRule>
  </conditionalFormatting>
  <conditionalFormatting sqref="G204">
    <cfRule type="expression" dxfId="49" priority="26" stopIfTrue="1">
      <formula>IF(FIND("Enter smelter details",G204),TRUE)</formula>
    </cfRule>
  </conditionalFormatting>
  <conditionalFormatting sqref="C56">
    <cfRule type="expression" dxfId="48" priority="25" stopIfTrue="1">
      <formula>IF(AND(B56&lt;&gt;"",C56=""),TRUE)</formula>
    </cfRule>
  </conditionalFormatting>
  <conditionalFormatting sqref="E56">
    <cfRule type="expression" dxfId="47" priority="23" stopIfTrue="1">
      <formula>IF(AND(E56="",$C56=$X$4),TRUE)</formula>
    </cfRule>
    <cfRule type="expression" dxfId="46" priority="24" stopIfTrue="1">
      <formula>IF(FIND("!",E56),TRUE)</formula>
    </cfRule>
  </conditionalFormatting>
  <conditionalFormatting sqref="F56">
    <cfRule type="expression" dxfId="45" priority="22" stopIfTrue="1">
      <formula>IF(AND(LEN($A56)&gt;0,$A56&lt;&gt;$F56),TRUE,FALSE)</formula>
    </cfRule>
  </conditionalFormatting>
  <conditionalFormatting sqref="G56">
    <cfRule type="expression" dxfId="44" priority="21" stopIfTrue="1">
      <formula>IF(FIND("Enter smelter details",G56),TRUE)</formula>
    </cfRule>
  </conditionalFormatting>
  <conditionalFormatting sqref="C155">
    <cfRule type="expression" dxfId="43" priority="20" stopIfTrue="1">
      <formula>IF(AND(B155&lt;&gt;"",C155=""),TRUE)</formula>
    </cfRule>
  </conditionalFormatting>
  <conditionalFormatting sqref="E155">
    <cfRule type="expression" dxfId="42" priority="18" stopIfTrue="1">
      <formula>IF(AND(E155="",$C155=$X$4),TRUE)</formula>
    </cfRule>
    <cfRule type="expression" dxfId="41" priority="19" stopIfTrue="1">
      <formula>IF(FIND("!",E155),TRUE)</formula>
    </cfRule>
  </conditionalFormatting>
  <conditionalFormatting sqref="F155">
    <cfRule type="expression" dxfId="40" priority="17" stopIfTrue="1">
      <formula>IF(AND(LEN($A155)&gt;0,$A155&lt;&gt;$F155),TRUE,FALSE)</formula>
    </cfRule>
  </conditionalFormatting>
  <conditionalFormatting sqref="G155">
    <cfRule type="expression" dxfId="39" priority="16" stopIfTrue="1">
      <formula>IF(FIND("Enter smelter details",G155),TRUE)</formula>
    </cfRule>
  </conditionalFormatting>
  <conditionalFormatting sqref="C156">
    <cfRule type="expression" dxfId="38" priority="15" stopIfTrue="1">
      <formula>IF(AND(B156&lt;&gt;"",C156=""),TRUE)</formula>
    </cfRule>
  </conditionalFormatting>
  <conditionalFormatting sqref="E156">
    <cfRule type="expression" dxfId="37" priority="13" stopIfTrue="1">
      <formula>IF(AND(E156="",$C156=$X$4),TRUE)</formula>
    </cfRule>
    <cfRule type="expression" dxfId="36" priority="14" stopIfTrue="1">
      <formula>IF(FIND("!",E156),TRUE)</formula>
    </cfRule>
  </conditionalFormatting>
  <conditionalFormatting sqref="F156">
    <cfRule type="expression" dxfId="35" priority="12" stopIfTrue="1">
      <formula>IF(AND(LEN($A156)&gt;0,$A156&lt;&gt;$F156),TRUE,FALSE)</formula>
    </cfRule>
  </conditionalFormatting>
  <conditionalFormatting sqref="G156">
    <cfRule type="expression" dxfId="34" priority="11" stopIfTrue="1">
      <formula>IF(FIND("Enter smelter details",G156),TRUE)</formula>
    </cfRule>
  </conditionalFormatting>
  <conditionalFormatting sqref="C158">
    <cfRule type="expression" dxfId="33" priority="10" stopIfTrue="1">
      <formula>IF(AND(B158&lt;&gt;"",C158=""),TRUE)</formula>
    </cfRule>
  </conditionalFormatting>
  <conditionalFormatting sqref="E158">
    <cfRule type="expression" dxfId="32" priority="8" stopIfTrue="1">
      <formula>IF(AND(E158="",$C158=$X$4),TRUE)</formula>
    </cfRule>
    <cfRule type="expression" dxfId="31" priority="9" stopIfTrue="1">
      <formula>IF(FIND("!",E158),TRUE)</formula>
    </cfRule>
  </conditionalFormatting>
  <conditionalFormatting sqref="F158">
    <cfRule type="expression" dxfId="30" priority="7" stopIfTrue="1">
      <formula>IF(AND(LEN($A158)&gt;0,$A158&lt;&gt;$F158),TRUE,FALSE)</formula>
    </cfRule>
  </conditionalFormatting>
  <conditionalFormatting sqref="G158">
    <cfRule type="expression" dxfId="29" priority="6" stopIfTrue="1">
      <formula>IF(FIND("Enter smelter details",G158),TRUE)</formula>
    </cfRule>
  </conditionalFormatting>
  <conditionalFormatting sqref="C206">
    <cfRule type="expression" dxfId="28" priority="5" stopIfTrue="1">
      <formula>IF(AND(B206&lt;&gt;"",C206=""),TRUE)</formula>
    </cfRule>
  </conditionalFormatting>
  <conditionalFormatting sqref="E206">
    <cfRule type="expression" dxfId="27" priority="3" stopIfTrue="1">
      <formula>IF(AND(E206="",$C206=$X$4),TRUE)</formula>
    </cfRule>
    <cfRule type="expression" dxfId="26" priority="4" stopIfTrue="1">
      <formula>IF(FIND("!",E206),TRUE)</formula>
    </cfRule>
  </conditionalFormatting>
  <conditionalFormatting sqref="F206">
    <cfRule type="expression" dxfId="25" priority="2" stopIfTrue="1">
      <formula>IF(AND(LEN($A206)&gt;0,$A206&lt;&gt;$F206),TRUE,FALSE)</formula>
    </cfRule>
  </conditionalFormatting>
  <conditionalFormatting sqref="G206">
    <cfRule type="expression" dxfId="24" priority="1" stopIfTrue="1">
      <formula>IF(FIND("Enter smelter details",G206),TRUE)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56"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9" t="str">
        <f ca="1">OFFSET(L!$C$1,MATCH("Checker"&amp;ADDRESS(ROW(),COLUMN(),4),L!$A:$A,0)-1,SL,,)</f>
        <v>To ensure all required fields have been populated before submitting to your customers review form for any line items highlighted in red</v>
      </c>
      <c r="B1" s="449"/>
      <c r="C1" s="449"/>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Marki Microwave,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James Godbout</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james@markimicrowave.com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(408) 778-4200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James Godbout</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 xml:space="preserve">james@markimicrowave.com      
</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44047</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No</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No</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www.markimicrowave.com/Assets/Product_releases/conflict_minerals.pdf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51" t="str">
        <f ca="1">OFFSET(L!$C$1,MATCH("Product List"&amp;ADDRESS(ROW(),COLUMN(),4),L!$A:$A,0)-1,SL,,)</f>
        <v>Completion required only if reporting level "Product (or List of Products)" selected on the 'Declaration' worksheet.</v>
      </c>
      <c r="B1" s="452"/>
      <c r="C1" s="452"/>
      <c r="D1" s="452"/>
      <c r="E1" s="145"/>
    </row>
    <row r="2" spans="1:6">
      <c r="A2" s="29"/>
      <c r="B2" s="147"/>
      <c r="C2" s="147"/>
      <c r="D2"/>
      <c r="E2" s="30"/>
    </row>
    <row r="3" spans="1:6">
      <c r="A3" s="29"/>
      <c r="B3" s="147"/>
      <c r="C3" s="147"/>
      <c r="D3" s="147"/>
      <c r="E3" s="30"/>
    </row>
    <row r="4" spans="1:6" ht="15.75" customHeight="1">
      <c r="A4" s="29"/>
      <c r="B4" s="450" t="s">
        <v>921</v>
      </c>
      <c r="C4" s="450"/>
      <c r="D4" s="450"/>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3" t="str">
        <f ca="1">OFFSET(L!$C$1,MATCH("General"&amp;"Cpy",L!$A:$A,0)-1,SL,,)</f>
        <v>© 2020 Responsible Minerals Initiative. All rights reserved.</v>
      </c>
      <c r="C1001" s="453"/>
      <c r="D1001" s="453"/>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69"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5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4"/>
      <c r="C1" s="454"/>
      <c r="D1" s="454"/>
      <c r="E1" s="454"/>
      <c r="F1" s="454"/>
      <c r="G1" s="454"/>
    </row>
    <row r="2" spans="1:16">
      <c r="A2" s="455"/>
      <c r="B2" s="455"/>
      <c r="C2" s="455"/>
      <c r="D2" s="455"/>
      <c r="E2" s="455"/>
      <c r="F2" s="455"/>
      <c r="G2" s="455"/>
      <c r="H2" s="455"/>
      <c r="I2" s="455"/>
    </row>
    <row r="3" spans="1:16">
      <c r="A3" s="455"/>
      <c r="B3" s="455"/>
      <c r="C3" s="455"/>
      <c r="D3" s="455"/>
      <c r="E3" s="455"/>
      <c r="F3" s="455"/>
      <c r="G3" s="455"/>
      <c r="H3" s="455"/>
      <c r="I3" s="455"/>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03DEE780-EC47-41FC-861F-1BDFE6C5F8C3}">
  <ds:schemaRefs>
    <ds:schemaRef ds:uri="http://schemas.microsoft.com/office/2006/documentManagement/types"/>
    <ds:schemaRef ds:uri="http://purl.org/dc/elements/1.1/"/>
    <ds:schemaRef ds:uri="http://purl.org/dc/terms/"/>
    <ds:schemaRef ds:uri="http://www.w3.org/XML/1998/namespace"/>
    <ds:schemaRef ds:uri="060324a1-f66f-4c36-a8ec-beadbf2f4219"/>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James Godbout</cp:lastModifiedBy>
  <cp:lastPrinted>2015-04-21T20:47:43Z</cp:lastPrinted>
  <dcterms:created xsi:type="dcterms:W3CDTF">2010-06-21T21:00:23Z</dcterms:created>
  <dcterms:modified xsi:type="dcterms:W3CDTF">2020-08-04T19:24:39Z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