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autoCompressPictures="0"/>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alcMode="manual"/>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5" i="5"/>
  <c r="C5" i="5"/>
  <c r="V5" i="5" s="1"/>
  <c r="B6" i="5"/>
  <c r="C6" i="5"/>
  <c r="V6" i="5" s="1"/>
  <c r="B7" i="5"/>
  <c r="C7" i="5"/>
  <c r="V7" i="5" s="1"/>
  <c r="B8" i="5"/>
  <c r="C8" i="5"/>
  <c r="V8" i="5" s="1"/>
  <c r="B9" i="5"/>
  <c r="C9" i="5"/>
  <c r="V9" i="5" s="1"/>
  <c r="B10" i="5"/>
  <c r="C10" i="5"/>
  <c r="B11" i="5"/>
  <c r="C11" i="5"/>
  <c r="V11" i="5" s="1"/>
  <c r="B12" i="5"/>
  <c r="C12" i="5"/>
  <c r="V12" i="5" s="1"/>
  <c r="F12" i="5" s="1"/>
  <c r="B13" i="5"/>
  <c r="C13" i="5"/>
  <c r="V13" i="5" s="1"/>
  <c r="B14" i="5"/>
  <c r="C14" i="5"/>
  <c r="B15" i="5"/>
  <c r="C15" i="5"/>
  <c r="V15" i="5" s="1"/>
  <c r="B16" i="5"/>
  <c r="C16" i="5"/>
  <c r="V16" i="5" s="1"/>
  <c r="B17" i="5"/>
  <c r="C17" i="5"/>
  <c r="V17" i="5" s="1"/>
  <c r="B18" i="5"/>
  <c r="C18" i="5"/>
  <c r="B19" i="5"/>
  <c r="C19" i="5"/>
  <c r="V19" i="5" s="1"/>
  <c r="B20" i="5"/>
  <c r="C20" i="5"/>
  <c r="V20" i="5" s="1"/>
  <c r="B21" i="5"/>
  <c r="C21" i="5"/>
  <c r="V21" i="5" s="1"/>
  <c r="B22" i="5"/>
  <c r="C22" i="5"/>
  <c r="V22" i="5" s="1"/>
  <c r="B23" i="5"/>
  <c r="C23" i="5"/>
  <c r="V23" i="5" s="1"/>
  <c r="B24" i="5"/>
  <c r="C24" i="5"/>
  <c r="B25" i="5"/>
  <c r="C25" i="5"/>
  <c r="V25" i="5" s="1"/>
  <c r="B26" i="5"/>
  <c r="C26" i="5"/>
  <c r="V26" i="5" s="1"/>
  <c r="B27" i="5"/>
  <c r="C27" i="5"/>
  <c r="V27" i="5" s="1"/>
  <c r="B28" i="5"/>
  <c r="C28" i="5"/>
  <c r="V28" i="5" s="1"/>
  <c r="B29" i="5"/>
  <c r="C29" i="5"/>
  <c r="V29" i="5" s="1"/>
  <c r="B30" i="5"/>
  <c r="C30" i="5"/>
  <c r="B31" i="5"/>
  <c r="C31" i="5"/>
  <c r="V31" i="5" s="1"/>
  <c r="B32" i="5"/>
  <c r="C32" i="5"/>
  <c r="B33" i="5"/>
  <c r="C33" i="5"/>
  <c r="V33" i="5" s="1"/>
  <c r="B34" i="5"/>
  <c r="C34" i="5"/>
  <c r="B35" i="5"/>
  <c r="C35" i="5"/>
  <c r="V35" i="5" s="1"/>
  <c r="B36" i="5"/>
  <c r="C36" i="5"/>
  <c r="V36" i="5" s="1"/>
  <c r="E36" i="5" s="1"/>
  <c r="X36" i="5" s="1"/>
  <c r="B37" i="5"/>
  <c r="C37" i="5"/>
  <c r="V37" i="5" s="1"/>
  <c r="B38" i="5"/>
  <c r="C38" i="5"/>
  <c r="V38" i="5" s="1"/>
  <c r="B39" i="5"/>
  <c r="C39" i="5"/>
  <c r="V39" i="5" s="1"/>
  <c r="B40" i="5"/>
  <c r="C40" i="5"/>
  <c r="B41" i="5"/>
  <c r="C41" i="5"/>
  <c r="V41" i="5" s="1"/>
  <c r="B42" i="5"/>
  <c r="C42" i="5"/>
  <c r="B43" i="5"/>
  <c r="C43" i="5"/>
  <c r="V43" i="5" s="1"/>
  <c r="B44" i="5"/>
  <c r="C44" i="5"/>
  <c r="V44" i="5" s="1"/>
  <c r="B45" i="5"/>
  <c r="C45" i="5"/>
  <c r="V45" i="5" s="1"/>
  <c r="B46" i="5"/>
  <c r="C46" i="5"/>
  <c r="B47" i="5"/>
  <c r="C47" i="5"/>
  <c r="V47" i="5" s="1"/>
  <c r="B48" i="5"/>
  <c r="C48" i="5"/>
  <c r="V48" i="5" s="1"/>
  <c r="B49" i="5"/>
  <c r="C49" i="5"/>
  <c r="V49" i="5" s="1"/>
  <c r="B50" i="5"/>
  <c r="C50" i="5"/>
  <c r="B51" i="5"/>
  <c r="C51" i="5"/>
  <c r="V51" i="5" s="1"/>
  <c r="B52" i="5"/>
  <c r="C52" i="5"/>
  <c r="V52" i="5" s="1"/>
  <c r="B53" i="5"/>
  <c r="C53" i="5"/>
  <c r="V53" i="5" s="1"/>
  <c r="B54" i="5"/>
  <c r="C54" i="5"/>
  <c r="V54" i="5" s="1"/>
  <c r="B55" i="5"/>
  <c r="C55" i="5"/>
  <c r="V55" i="5" s="1"/>
  <c r="B56" i="5"/>
  <c r="C56" i="5"/>
  <c r="V56" i="5" s="1"/>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I5" i="5"/>
  <c r="J7" i="5"/>
  <c r="R11" i="5"/>
  <c r="G13" i="5"/>
  <c r="R15" i="5"/>
  <c r="F23" i="5"/>
  <c r="F25" i="5"/>
  <c r="H29" i="5"/>
  <c r="E31" i="5"/>
  <c r="X31" i="5" s="1"/>
  <c r="E33" i="5"/>
  <c r="X33" i="5" s="1"/>
  <c r="F35" i="5"/>
  <c r="I37" i="5"/>
  <c r="R39" i="5"/>
  <c r="I43" i="5"/>
  <c r="E45" i="5"/>
  <c r="X45" i="5" s="1"/>
  <c r="I47" i="5"/>
  <c r="G49" i="5"/>
  <c r="I51" i="5"/>
  <c r="J53" i="5"/>
  <c r="G55"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 i="5"/>
  <c r="AB7" i="5"/>
  <c r="AB9" i="5"/>
  <c r="AB11" i="5"/>
  <c r="AB13" i="5"/>
  <c r="AB15" i="5"/>
  <c r="AB17" i="5"/>
  <c r="AB19" i="5"/>
  <c r="AB21" i="5"/>
  <c r="AB23" i="5"/>
  <c r="AB25" i="5"/>
  <c r="AB27" i="5"/>
  <c r="AB29" i="5"/>
  <c r="AB31" i="5"/>
  <c r="AB33" i="5"/>
  <c r="AB35" i="5"/>
  <c r="AB37" i="5"/>
  <c r="AB39" i="5"/>
  <c r="AB41" i="5"/>
  <c r="AB43" i="5"/>
  <c r="AB45" i="5"/>
  <c r="AB47" i="5"/>
  <c r="AB49" i="5"/>
  <c r="AB51" i="5"/>
  <c r="AB53" i="5"/>
  <c r="AB55" i="5"/>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s="1"/>
  <c r="B50" i="6"/>
  <c r="G50" i="6" s="1"/>
  <c r="H14" i="6"/>
  <c r="H61" i="4"/>
  <c r="B86" i="4"/>
  <c r="F23" i="6"/>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E52" i="5"/>
  <c r="X52" i="5" s="1"/>
  <c r="H28" i="5"/>
  <c r="G20" i="5"/>
  <c r="AB12"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E23" i="5"/>
  <c r="X23" i="5" s="1"/>
  <c r="F117" i="5"/>
  <c r="B28" i="6" l="1"/>
  <c r="B23" i="6"/>
  <c r="B33" i="6" s="1"/>
  <c r="B48" i="6"/>
  <c r="B43" i="6"/>
  <c r="B38" i="6"/>
  <c r="B21" i="6"/>
  <c r="B31" i="6" s="1"/>
  <c r="F21" i="6"/>
  <c r="B20" i="6"/>
  <c r="B35" i="6" s="1"/>
  <c r="G23" i="6"/>
  <c r="H23" i="6" s="1"/>
  <c r="D23" i="6" s="1"/>
  <c r="F20" i="6"/>
  <c r="F22" i="6"/>
  <c r="G22" i="6"/>
  <c r="G18" i="6"/>
  <c r="H18" i="6" s="1"/>
  <c r="G16" i="6"/>
  <c r="H16" i="6" s="1"/>
  <c r="D16" i="6" s="1"/>
  <c r="AB28" i="5"/>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50" i="5"/>
  <c r="F50" i="5" s="1"/>
  <c r="V46" i="5"/>
  <c r="J46" i="5" s="1"/>
  <c r="V42" i="5"/>
  <c r="H42" i="5" s="1"/>
  <c r="V40" i="5"/>
  <c r="H40" i="5" s="1"/>
  <c r="V34" i="5"/>
  <c r="R34" i="5" s="1"/>
  <c r="V32" i="5"/>
  <c r="F32" i="5" s="1"/>
  <c r="V30" i="5"/>
  <c r="H30" i="5" s="1"/>
  <c r="V24" i="5"/>
  <c r="E24" i="5" s="1"/>
  <c r="X24" i="5" s="1"/>
  <c r="V18" i="5"/>
  <c r="R18" i="5" s="1"/>
  <c r="V14" i="5"/>
  <c r="J14" i="5" s="1"/>
  <c r="V10" i="5"/>
  <c r="I10"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52" i="5"/>
  <c r="AB44" i="5"/>
  <c r="AB36" i="5"/>
  <c r="AB2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55" i="5"/>
  <c r="H405" i="5"/>
  <c r="R189" i="5"/>
  <c r="F469" i="5"/>
  <c r="I457" i="5"/>
  <c r="E539" i="5"/>
  <c r="X539" i="5" s="1"/>
  <c r="J325" i="5"/>
  <c r="I165" i="5"/>
  <c r="J149" i="5"/>
  <c r="F341" i="5"/>
  <c r="I237" i="5"/>
  <c r="F1879" i="5"/>
  <c r="J1879" i="5"/>
  <c r="H2388" i="5"/>
  <c r="R1879" i="5"/>
  <c r="H69" i="5"/>
  <c r="J29" i="5"/>
  <c r="R87" i="5"/>
  <c r="G117" i="5"/>
  <c r="H109" i="5"/>
  <c r="H173" i="5"/>
  <c r="I277" i="5"/>
  <c r="E491" i="5"/>
  <c r="X491" i="5" s="1"/>
  <c r="H79" i="5"/>
  <c r="H285" i="5"/>
  <c r="J117" i="5"/>
  <c r="E373" i="5"/>
  <c r="X373" i="5" s="1"/>
  <c r="E475" i="5"/>
  <c r="X475" i="5" s="1"/>
  <c r="H481" i="5"/>
  <c r="H523" i="5"/>
  <c r="H397" i="5"/>
  <c r="I389" i="5"/>
  <c r="I7" i="5"/>
  <c r="I31" i="5"/>
  <c r="F87" i="5"/>
  <c r="F141" i="5"/>
  <c r="R205" i="5"/>
  <c r="I317" i="5"/>
  <c r="I493" i="5"/>
  <c r="I381" i="5"/>
  <c r="I133" i="5"/>
  <c r="I261" i="5"/>
  <c r="I397" i="5"/>
  <c r="H293" i="5"/>
  <c r="F824" i="5"/>
  <c r="I63" i="5"/>
  <c r="G325" i="5"/>
  <c r="H15" i="5"/>
  <c r="I55" i="5"/>
  <c r="H87" i="5"/>
  <c r="F149" i="5"/>
  <c r="H229" i="5"/>
  <c r="G333" i="5"/>
  <c r="I157" i="5"/>
  <c r="J269" i="5"/>
  <c r="G71" i="5"/>
  <c r="F133" i="5"/>
  <c r="F261" i="5"/>
  <c r="F459" i="5"/>
  <c r="J181" i="5"/>
  <c r="F2428" i="5"/>
  <c r="H331" i="5"/>
  <c r="H13" i="5"/>
  <c r="R77" i="5"/>
  <c r="E123" i="5"/>
  <c r="X123" i="5" s="1"/>
  <c r="R187" i="5"/>
  <c r="F371" i="5"/>
  <c r="H839" i="5"/>
  <c r="E37" i="5"/>
  <c r="X37" i="5" s="1"/>
  <c r="G2310" i="5"/>
  <c r="I123" i="5"/>
  <c r="E77" i="5"/>
  <c r="X77" i="5" s="1"/>
  <c r="G999" i="5"/>
  <c r="E69" i="5"/>
  <c r="X69" i="5" s="1"/>
  <c r="R455" i="5"/>
  <c r="F107" i="5"/>
  <c r="I179" i="5"/>
  <c r="J535" i="5"/>
  <c r="J331" i="5"/>
  <c r="R45" i="5"/>
  <c r="I2162" i="5"/>
  <c r="R1580" i="5"/>
  <c r="F187" i="5"/>
  <c r="G1363" i="5"/>
  <c r="R53" i="5"/>
  <c r="E2267" i="5"/>
  <c r="X2267" i="5" s="1"/>
  <c r="J69" i="5"/>
  <c r="G85" i="5"/>
  <c r="J93" i="5"/>
  <c r="I155" i="5"/>
  <c r="H187" i="5"/>
  <c r="F455" i="5"/>
  <c r="G823" i="5"/>
  <c r="H1331" i="5"/>
  <c r="J139" i="5"/>
  <c r="I147" i="5"/>
  <c r="I2114" i="5"/>
  <c r="E155" i="5"/>
  <c r="X155" i="5" s="1"/>
  <c r="I115" i="5"/>
  <c r="I29" i="5"/>
  <c r="G77" i="5"/>
  <c r="F535" i="5"/>
  <c r="E423" i="5"/>
  <c r="X423" i="5" s="1"/>
  <c r="J2098" i="5"/>
  <c r="G1207" i="5"/>
  <c r="R545" i="5"/>
  <c r="I413" i="5"/>
  <c r="G427" i="5"/>
  <c r="R23" i="5"/>
  <c r="G31" i="5"/>
  <c r="H55"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R7" i="5"/>
  <c r="I15" i="5"/>
  <c r="J47"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F45" i="5"/>
  <c r="G45" i="5"/>
  <c r="I45" i="5"/>
  <c r="J45" i="5"/>
  <c r="H45" i="5"/>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G53" i="5"/>
  <c r="F53" i="5"/>
  <c r="I53" i="5"/>
  <c r="R37" i="5"/>
  <c r="H37" i="5"/>
  <c r="J37" i="5"/>
  <c r="G37" i="5"/>
  <c r="F37" i="5"/>
  <c r="F29" i="5"/>
  <c r="E29" i="5"/>
  <c r="X29" i="5" s="1"/>
  <c r="R29" i="5"/>
  <c r="J21" i="5"/>
  <c r="H21" i="5"/>
  <c r="R21" i="5"/>
  <c r="E21" i="5"/>
  <c r="X21" i="5" s="1"/>
  <c r="G21" i="5"/>
  <c r="F21" i="5"/>
  <c r="I13" i="5"/>
  <c r="F13" i="5"/>
  <c r="J13" i="5"/>
  <c r="R13" i="5"/>
  <c r="E13" i="5"/>
  <c r="X13" i="5" s="1"/>
  <c r="G5" i="5"/>
  <c r="E5" i="5"/>
  <c r="X5" i="5" s="1"/>
  <c r="R5" i="5"/>
  <c r="F5" i="5"/>
  <c r="H5" i="5"/>
  <c r="J5"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29"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H53" i="5"/>
  <c r="R703" i="5"/>
  <c r="E1007" i="5"/>
  <c r="X1007" i="5" s="1"/>
  <c r="I21" i="5"/>
  <c r="I61" i="5"/>
  <c r="J171" i="5"/>
  <c r="I403" i="5"/>
  <c r="J567" i="5"/>
  <c r="I651" i="5"/>
  <c r="F911" i="5"/>
  <c r="J931" i="5"/>
  <c r="E947" i="5"/>
  <c r="X947" i="5" s="1"/>
  <c r="J1075" i="5"/>
  <c r="G1243" i="5"/>
  <c r="E1315" i="5"/>
  <c r="X1315" i="5" s="1"/>
  <c r="H1367" i="5"/>
  <c r="H595" i="5"/>
  <c r="F379" i="5"/>
  <c r="F851" i="5"/>
  <c r="E53" i="5"/>
  <c r="X53" i="5" s="1"/>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F28" i="5"/>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I39" i="5"/>
  <c r="F39" i="5"/>
  <c r="G497" i="5"/>
  <c r="F497" i="5"/>
  <c r="G453" i="5"/>
  <c r="E453" i="5"/>
  <c r="X453" i="5" s="1"/>
  <c r="E441" i="5"/>
  <c r="X441" i="5" s="1"/>
  <c r="G441" i="5"/>
  <c r="F437" i="5"/>
  <c r="J437" i="5"/>
  <c r="J60" i="5"/>
  <c r="J2234" i="5"/>
  <c r="F2252" i="5"/>
  <c r="J20" i="5"/>
  <c r="I1432" i="5"/>
  <c r="H2424" i="5"/>
  <c r="J2388" i="5"/>
  <c r="E2388" i="5"/>
  <c r="X2388" i="5" s="1"/>
  <c r="I2107" i="5"/>
  <c r="H1879" i="5"/>
  <c r="I1548" i="5"/>
  <c r="E1879" i="5"/>
  <c r="X1879" i="5" s="1"/>
  <c r="R2363" i="5"/>
  <c r="H2123" i="5"/>
  <c r="G1548" i="5"/>
  <c r="I2292" i="5"/>
  <c r="R1234" i="5"/>
  <c r="H1070" i="5"/>
  <c r="R277" i="5"/>
  <c r="G23" i="5"/>
  <c r="H165" i="5"/>
  <c r="J539" i="5"/>
  <c r="J545" i="5"/>
  <c r="H39" i="5"/>
  <c r="F301" i="5"/>
  <c r="G389" i="5"/>
  <c r="H23" i="5"/>
  <c r="F31" i="5"/>
  <c r="E87" i="5"/>
  <c r="X87" i="5" s="1"/>
  <c r="I141" i="5"/>
  <c r="J173" i="5"/>
  <c r="H205" i="5"/>
  <c r="H237" i="5"/>
  <c r="F493" i="5"/>
  <c r="I521" i="5"/>
  <c r="H1039" i="5"/>
  <c r="G79" i="5"/>
  <c r="E2407" i="5"/>
  <c r="X2407" i="5" s="1"/>
  <c r="J349" i="5"/>
  <c r="G341" i="5"/>
  <c r="I181" i="5"/>
  <c r="H63" i="5"/>
  <c r="I437" i="5"/>
  <c r="F481" i="5"/>
  <c r="J39"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G28"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E28" i="5"/>
  <c r="X28" i="5" s="1"/>
  <c r="R1063" i="5"/>
  <c r="E1039" i="5"/>
  <c r="X1039" i="5" s="1"/>
  <c r="G1471" i="5"/>
  <c r="F2300" i="5"/>
  <c r="H2474" i="5"/>
  <c r="G12"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R44" i="5"/>
  <c r="E44" i="5"/>
  <c r="X44" i="5" s="1"/>
  <c r="I124" i="5"/>
  <c r="H124" i="5"/>
  <c r="I2400" i="5"/>
  <c r="H2400" i="5"/>
  <c r="E1332" i="5"/>
  <c r="X1332" i="5" s="1"/>
  <c r="E2406" i="5"/>
  <c r="X2406" i="5" s="1"/>
  <c r="H2476" i="5"/>
  <c r="H2192" i="5"/>
  <c r="H1924" i="5"/>
  <c r="R2178" i="5"/>
  <c r="H1303" i="5"/>
  <c r="F2324" i="5"/>
  <c r="J2212" i="5"/>
  <c r="J2196" i="5"/>
  <c r="R2164" i="5"/>
  <c r="F2100" i="5"/>
  <c r="R52" i="5"/>
  <c r="G52"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R47" i="5"/>
  <c r="G47"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7" i="5"/>
  <c r="E7" i="5"/>
  <c r="X7" i="5" s="1"/>
  <c r="F15" i="5"/>
  <c r="J15" i="5"/>
  <c r="I23" i="5"/>
  <c r="R31" i="5"/>
  <c r="H31" i="5"/>
  <c r="E47" i="5"/>
  <c r="X47" i="5" s="1"/>
  <c r="J55" i="5"/>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G39"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H47" i="5"/>
  <c r="E507" i="5"/>
  <c r="X507" i="5" s="1"/>
  <c r="G533" i="5"/>
  <c r="J261" i="5"/>
  <c r="F7" i="5"/>
  <c r="I505" i="5"/>
  <c r="E229" i="5"/>
  <c r="X229" i="5" s="1"/>
  <c r="R349" i="5"/>
  <c r="F381" i="5"/>
  <c r="E555" i="5"/>
  <c r="X555" i="5" s="1"/>
  <c r="J523" i="5"/>
  <c r="R557" i="5"/>
  <c r="I497" i="5"/>
  <c r="I427" i="5"/>
  <c r="G221" i="5"/>
  <c r="E481" i="5"/>
  <c r="X481" i="5" s="1"/>
  <c r="R457" i="5"/>
  <c r="R293" i="5"/>
  <c r="E157" i="5"/>
  <c r="X157" i="5" s="1"/>
  <c r="H7" i="5"/>
  <c r="J23" i="5"/>
  <c r="J31" i="5"/>
  <c r="F47" i="5"/>
  <c r="E55" i="5"/>
  <c r="X55" i="5" s="1"/>
  <c r="R55" i="5"/>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E39" i="5"/>
  <c r="X39" i="5" s="1"/>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I52"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J12" i="5"/>
  <c r="R12" i="5"/>
  <c r="I36" i="5"/>
  <c r="R36" i="5"/>
  <c r="G36"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I12" i="5"/>
  <c r="R2364" i="5"/>
  <c r="E2432" i="5"/>
  <c r="X2432" i="5" s="1"/>
  <c r="H2336" i="5"/>
  <c r="F2272" i="5"/>
  <c r="G2342" i="5"/>
  <c r="R2204" i="5"/>
  <c r="E164" i="5"/>
  <c r="X164" i="5" s="1"/>
  <c r="I68" i="5"/>
  <c r="H36"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R20" i="5"/>
  <c r="E20" i="5"/>
  <c r="X20" i="5" s="1"/>
  <c r="I20" i="5"/>
  <c r="F20" i="5"/>
  <c r="I44" i="5"/>
  <c r="F4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J44" i="5"/>
  <c r="H1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J36"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G44" i="5"/>
  <c r="H44" i="5"/>
  <c r="E12" i="5"/>
  <c r="X12" i="5" s="1"/>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F36" i="5"/>
  <c r="H20"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J52" i="5"/>
  <c r="H52" i="5"/>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52"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F51"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49" i="5"/>
  <c r="R49" i="5"/>
  <c r="I49" i="5"/>
  <c r="J49" i="5"/>
  <c r="E49" i="5"/>
  <c r="X49" i="5" s="1"/>
  <c r="J33" i="5"/>
  <c r="G33" i="5"/>
  <c r="I33" i="5"/>
  <c r="F33" i="5"/>
  <c r="E17" i="5"/>
  <c r="X17" i="5" s="1"/>
  <c r="G17" i="5"/>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H33"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J41" i="5"/>
  <c r="I41" i="5"/>
  <c r="F41" i="5"/>
  <c r="H41" i="5"/>
  <c r="G41" i="5"/>
  <c r="J25" i="5"/>
  <c r="R25" i="5"/>
  <c r="I25" i="5"/>
  <c r="H25" i="5"/>
  <c r="G25" i="5"/>
  <c r="E9" i="5"/>
  <c r="X9" i="5" s="1"/>
  <c r="G9" i="5"/>
  <c r="F9" i="5"/>
  <c r="H9" i="5"/>
  <c r="R9" i="5"/>
  <c r="G1473" i="5"/>
  <c r="F1105" i="5"/>
  <c r="H2433" i="5"/>
  <c r="I1637" i="5"/>
  <c r="I127" i="5"/>
  <c r="H1173" i="5"/>
  <c r="E1377" i="5"/>
  <c r="X1377" i="5" s="1"/>
  <c r="E183" i="5"/>
  <c r="X183" i="5" s="1"/>
  <c r="F657" i="5"/>
  <c r="F793" i="5"/>
  <c r="F399" i="5"/>
  <c r="H1573" i="5"/>
  <c r="R2257" i="5"/>
  <c r="J937" i="5"/>
  <c r="G1445" i="5"/>
  <c r="J17" i="5"/>
  <c r="E25" i="5"/>
  <c r="X25" i="5" s="1"/>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H49" i="5"/>
  <c r="J1681" i="5"/>
  <c r="R1805" i="5"/>
  <c r="E1197" i="5"/>
  <c r="X1197" i="5" s="1"/>
  <c r="J605" i="5"/>
  <c r="H617" i="5"/>
  <c r="J1397" i="5"/>
  <c r="E685" i="5"/>
  <c r="X685" i="5" s="1"/>
  <c r="I857" i="5"/>
  <c r="R1009" i="5"/>
  <c r="I9" i="5"/>
  <c r="E869" i="5"/>
  <c r="X869" i="5" s="1"/>
  <c r="J2185" i="5"/>
  <c r="I901" i="5"/>
  <c r="H1375" i="5"/>
  <c r="R657" i="5"/>
  <c r="I495" i="5"/>
  <c r="F593" i="5"/>
  <c r="I1089" i="5"/>
  <c r="J1449" i="5"/>
  <c r="E1553" i="5"/>
  <c r="X1553" i="5" s="1"/>
  <c r="R2005" i="5"/>
  <c r="I1705" i="5"/>
  <c r="I1841" i="5"/>
  <c r="J1669" i="5"/>
  <c r="H1981" i="5"/>
  <c r="J9" i="5"/>
  <c r="R33"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I28" i="5"/>
  <c r="J28" i="5"/>
  <c r="R28" i="5"/>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G30"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G19" i="5"/>
  <c r="H19" i="5"/>
  <c r="R19" i="5"/>
  <c r="F206" i="5"/>
  <c r="J206" i="5"/>
  <c r="R467" i="5"/>
  <c r="J233" i="5"/>
  <c r="G1424" i="5"/>
  <c r="F1392" i="5"/>
  <c r="F1360" i="5"/>
  <c r="J1351" i="5"/>
  <c r="I2274" i="5"/>
  <c r="R1260" i="5"/>
  <c r="J1223" i="5"/>
  <c r="J1630" i="5"/>
  <c r="H1160" i="5"/>
  <c r="E1374" i="5"/>
  <c r="X1374" i="5" s="1"/>
  <c r="I161" i="5"/>
  <c r="H121" i="5"/>
  <c r="G105" i="5"/>
  <c r="R51" i="5"/>
  <c r="E43" i="5"/>
  <c r="X43" i="5" s="1"/>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G27" i="5"/>
  <c r="E27" i="5"/>
  <c r="X27" i="5" s="1"/>
  <c r="J27" i="5"/>
  <c r="H27" i="5"/>
  <c r="F27" i="5"/>
  <c r="I27" i="5"/>
  <c r="G11" i="5"/>
  <c r="H11" i="5"/>
  <c r="I11" i="5"/>
  <c r="J11" i="5"/>
  <c r="F11" i="5"/>
  <c r="E11" i="5"/>
  <c r="X11" i="5" s="1"/>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E19" i="5"/>
  <c r="X19" i="5" s="1"/>
  <c r="H43" i="5"/>
  <c r="F43" i="5"/>
  <c r="J51" i="5"/>
  <c r="G59" i="5"/>
  <c r="H91" i="5"/>
  <c r="R97" i="5"/>
  <c r="R121" i="5"/>
  <c r="G121" i="5"/>
  <c r="R137" i="5"/>
  <c r="H137" i="5"/>
  <c r="F145" i="5"/>
  <c r="H161" i="5"/>
  <c r="G177" i="5"/>
  <c r="F177" i="5"/>
  <c r="G209" i="5"/>
  <c r="E225" i="5"/>
  <c r="X225" i="5" s="1"/>
  <c r="R273" i="5"/>
  <c r="I289" i="5"/>
  <c r="H313" i="5"/>
  <c r="I409" i="5"/>
  <c r="F409" i="5"/>
  <c r="F451" i="5"/>
  <c r="H499" i="5"/>
  <c r="I385" i="5"/>
  <c r="G3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I19" i="5"/>
  <c r="J547" i="5"/>
  <c r="E35" i="5"/>
  <c r="X35" i="5" s="1"/>
  <c r="J91" i="5"/>
  <c r="H467" i="5"/>
  <c r="G385" i="5"/>
  <c r="R27" i="5"/>
  <c r="J19" i="5"/>
  <c r="R43" i="5"/>
  <c r="G51"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H18"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J43" i="5"/>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35" i="5"/>
  <c r="R35" i="5"/>
  <c r="I35" i="5"/>
  <c r="H3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J56" i="5"/>
  <c r="R56" i="5"/>
  <c r="I56" i="5"/>
  <c r="H56" i="5"/>
  <c r="F56" i="5"/>
  <c r="E56" i="5"/>
  <c r="X56" i="5" s="1"/>
  <c r="G56" i="5"/>
  <c r="I54" i="5"/>
  <c r="G54" i="5"/>
  <c r="E54" i="5"/>
  <c r="X54" i="5" s="1"/>
  <c r="H54" i="5"/>
  <c r="J54" i="5"/>
  <c r="R54" i="5"/>
  <c r="F54" i="5"/>
  <c r="H50" i="5"/>
  <c r="E50" i="5"/>
  <c r="X50" i="5" s="1"/>
  <c r="R48" i="5"/>
  <c r="H48" i="5"/>
  <c r="E48" i="5"/>
  <c r="X48" i="5" s="1"/>
  <c r="F48" i="5"/>
  <c r="G48" i="5"/>
  <c r="J48" i="5"/>
  <c r="I48" i="5"/>
  <c r="R46" i="5"/>
  <c r="H46" i="5"/>
  <c r="I46" i="5"/>
  <c r="E46" i="5"/>
  <c r="X46" i="5" s="1"/>
  <c r="G46" i="5"/>
  <c r="F46" i="5"/>
  <c r="R42" i="5"/>
  <c r="G42" i="5"/>
  <c r="F42" i="5"/>
  <c r="I42" i="5"/>
  <c r="J42" i="5"/>
  <c r="I38" i="5"/>
  <c r="G38" i="5"/>
  <c r="R38" i="5"/>
  <c r="E38" i="5"/>
  <c r="X38" i="5" s="1"/>
  <c r="H38" i="5"/>
  <c r="J38" i="5"/>
  <c r="F38" i="5"/>
  <c r="E34" i="5"/>
  <c r="X34" i="5" s="1"/>
  <c r="I32" i="5"/>
  <c r="R32" i="5"/>
  <c r="E32" i="5"/>
  <c r="X32" i="5" s="1"/>
  <c r="G32" i="5"/>
  <c r="J32" i="5"/>
  <c r="F30" i="5"/>
  <c r="E30" i="5"/>
  <c r="X30" i="5" s="1"/>
  <c r="J30" i="5"/>
  <c r="R30" i="5"/>
  <c r="I30" i="5"/>
  <c r="G24" i="5"/>
  <c r="J24" i="5"/>
  <c r="H24" i="5"/>
  <c r="R24" i="5"/>
  <c r="F24" i="5"/>
  <c r="I24" i="5"/>
  <c r="R22" i="5"/>
  <c r="I22" i="5"/>
  <c r="F22" i="5"/>
  <c r="J22" i="5"/>
  <c r="H22" i="5"/>
  <c r="E22" i="5"/>
  <c r="X22" i="5" s="1"/>
  <c r="G22" i="5"/>
  <c r="J18" i="5"/>
  <c r="E16" i="5"/>
  <c r="X16" i="5" s="1"/>
  <c r="I16" i="5"/>
  <c r="G16" i="5"/>
  <c r="F16" i="5"/>
  <c r="R16" i="5"/>
  <c r="H16" i="5"/>
  <c r="G14" i="5"/>
  <c r="F14" i="5"/>
  <c r="H14" i="5"/>
  <c r="I14" i="5"/>
  <c r="R14" i="5"/>
  <c r="E14" i="5"/>
  <c r="X14" i="5" s="1"/>
  <c r="H10" i="5"/>
  <c r="G10" i="5"/>
  <c r="F10" i="5"/>
  <c r="R10" i="5"/>
  <c r="E10" i="5"/>
  <c r="X10" i="5" s="1"/>
  <c r="J10" i="5"/>
  <c r="H8" i="5"/>
  <c r="R8" i="5"/>
  <c r="E8" i="5"/>
  <c r="X8" i="5" s="1"/>
  <c r="I8" i="5"/>
  <c r="F8" i="5"/>
  <c r="J8" i="5"/>
  <c r="G8" i="5"/>
  <c r="J6" i="5"/>
  <c r="H6" i="5"/>
  <c r="F6" i="5"/>
  <c r="E6" i="5"/>
  <c r="X6" i="5" s="1"/>
  <c r="I6"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F19" i="5"/>
  <c r="G43" i="5"/>
  <c r="E51" i="5"/>
  <c r="X51" i="5" s="1"/>
  <c r="E59" i="5"/>
  <c r="X59" i="5" s="1"/>
  <c r="F97" i="5"/>
  <c r="E121" i="5"/>
  <c r="X121" i="5" s="1"/>
  <c r="H145" i="5"/>
  <c r="E161" i="5"/>
  <c r="X161" i="5" s="1"/>
  <c r="I177" i="5"/>
  <c r="E209" i="5"/>
  <c r="X209" i="5" s="1"/>
  <c r="J225" i="5"/>
  <c r="I273" i="5"/>
  <c r="E289" i="5"/>
  <c r="X289" i="5" s="1"/>
  <c r="F305" i="5"/>
  <c r="F313" i="5"/>
  <c r="E409" i="5"/>
  <c r="X409" i="5" s="1"/>
  <c r="I547" i="5"/>
  <c r="H51" i="5"/>
  <c r="R297" i="5"/>
  <c r="I531" i="5"/>
  <c r="I201" i="5"/>
  <c r="G265" i="5"/>
  <c r="F337" i="5"/>
  <c r="J345" i="5"/>
  <c r="H361" i="5"/>
  <c r="R393" i="5"/>
  <c r="G1394" i="5"/>
  <c r="I1074" i="5"/>
  <c r="E1646" i="5"/>
  <c r="X1646" i="5" s="1"/>
  <c r="G6" i="5"/>
  <c r="J152" i="5"/>
  <c r="R290" i="5"/>
  <c r="J546" i="5"/>
  <c r="R6" i="5"/>
  <c r="J198" i="5"/>
  <c r="G258" i="5"/>
  <c r="F394" i="5"/>
  <c r="F1566" i="5"/>
  <c r="E1286" i="5"/>
  <c r="X1286" i="5" s="1"/>
  <c r="I128" i="5"/>
  <c r="I1510" i="5"/>
  <c r="R1966" i="5"/>
  <c r="H32"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J16" i="5"/>
  <c r="G80" i="5"/>
  <c r="I112" i="5"/>
  <c r="F435" i="5"/>
  <c r="J451" i="5"/>
  <c r="R602" i="5"/>
  <c r="H614" i="5"/>
  <c r="G750" i="5"/>
  <c r="E978" i="5"/>
  <c r="X978" i="5" s="1"/>
  <c r="I1506" i="5"/>
  <c r="G1690" i="5"/>
  <c r="G1762" i="5"/>
  <c r="I294" i="5"/>
  <c r="E42" i="5"/>
  <c r="X42" i="5" s="1"/>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R41" i="5"/>
  <c r="E41" i="5"/>
  <c r="X41" i="5" s="1"/>
  <c r="R17" i="5"/>
  <c r="F17" i="5"/>
  <c r="H17" i="5"/>
  <c r="I1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AB16" i="5"/>
  <c r="AB14" i="5"/>
  <c r="AB10" i="5"/>
  <c r="AB8" i="5"/>
  <c r="AB6"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AB56" i="5"/>
  <c r="AB54" i="5"/>
  <c r="AB50" i="5"/>
  <c r="AB48" i="5"/>
  <c r="AB46" i="5"/>
  <c r="AB42" i="5"/>
  <c r="AB40" i="5"/>
  <c r="AB38" i="5"/>
  <c r="AB34" i="5"/>
  <c r="AB32" i="5"/>
  <c r="AB30" i="5"/>
  <c r="AB26" i="5"/>
  <c r="AB24" i="5"/>
  <c r="AB22" i="5"/>
  <c r="AB1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J40" i="5"/>
  <c r="G40" i="5"/>
  <c r="R40" i="5"/>
  <c r="E40" i="5"/>
  <c r="X40" i="5" s="1"/>
  <c r="I40" i="5"/>
  <c r="E26" i="5"/>
  <c r="X26" i="5" s="1"/>
  <c r="H26" i="5"/>
  <c r="R26" i="5"/>
  <c r="I26" i="5"/>
  <c r="G26" i="5"/>
  <c r="E1071" i="5"/>
  <c r="X1071" i="5" s="1"/>
  <c r="F1279" i="5"/>
  <c r="E1668" i="5"/>
  <c r="X1668" i="5" s="1"/>
  <c r="E1987" i="5"/>
  <c r="X1987" i="5" s="1"/>
  <c r="I1668" i="5"/>
  <c r="H1668" i="5"/>
  <c r="R1517" i="5"/>
  <c r="E1718" i="5"/>
  <c r="X1718" i="5" s="1"/>
  <c r="G1046" i="5"/>
  <c r="R1668" i="5"/>
  <c r="G1155" i="5"/>
  <c r="G1058" i="5"/>
  <c r="J1937" i="5"/>
  <c r="J26"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F40" i="5"/>
  <c r="F26"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E15" i="5"/>
  <c r="X15" i="5" s="1"/>
  <c r="G15"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C12" i="6" s="1"/>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S56" i="5"/>
  <c r="T56" i="5"/>
  <c r="S54" i="5"/>
  <c r="T54" i="5"/>
  <c r="S52" i="5"/>
  <c r="T52" i="5"/>
  <c r="S50" i="5"/>
  <c r="T50" i="5"/>
  <c r="S48" i="5"/>
  <c r="T48" i="5"/>
  <c r="S46" i="5"/>
  <c r="T46" i="5"/>
  <c r="S44" i="5"/>
  <c r="T44" i="5"/>
  <c r="S42" i="5"/>
  <c r="T42" i="5"/>
  <c r="S40" i="5"/>
  <c r="T40" i="5"/>
  <c r="S38" i="5"/>
  <c r="T38" i="5"/>
  <c r="S36" i="5"/>
  <c r="T36" i="5"/>
  <c r="S34" i="5"/>
  <c r="T34" i="5"/>
  <c r="S32" i="5"/>
  <c r="T32" i="5"/>
  <c r="S30" i="5"/>
  <c r="T30" i="5"/>
  <c r="S28" i="5"/>
  <c r="T28" i="5"/>
  <c r="S26" i="5"/>
  <c r="T26" i="5"/>
  <c r="S24" i="5"/>
  <c r="T24" i="5"/>
  <c r="S22" i="5"/>
  <c r="T22" i="5"/>
  <c r="S20" i="5"/>
  <c r="T20" i="5"/>
  <c r="S18" i="5"/>
  <c r="T18" i="5"/>
  <c r="S16" i="5"/>
  <c r="T16" i="5"/>
  <c r="S14" i="5"/>
  <c r="T14" i="5"/>
  <c r="S12" i="5"/>
  <c r="T12" i="5"/>
  <c r="S10" i="5"/>
  <c r="T10" i="5"/>
  <c r="S8" i="5"/>
  <c r="T8" i="5"/>
  <c r="S6" i="5"/>
  <c r="T6"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S55" i="5"/>
  <c r="T55" i="5"/>
  <c r="S53" i="5"/>
  <c r="T53" i="5"/>
  <c r="S51" i="5"/>
  <c r="T51" i="5"/>
  <c r="S49" i="5"/>
  <c r="T49" i="5"/>
  <c r="S47" i="5"/>
  <c r="T47" i="5"/>
  <c r="S45" i="5"/>
  <c r="T45" i="5"/>
  <c r="S43" i="5"/>
  <c r="T43" i="5"/>
  <c r="S41" i="5"/>
  <c r="T41" i="5"/>
  <c r="S39" i="5"/>
  <c r="T39" i="5"/>
  <c r="S37" i="5"/>
  <c r="T37" i="5"/>
  <c r="S35" i="5"/>
  <c r="T35" i="5"/>
  <c r="S33" i="5"/>
  <c r="T33" i="5"/>
  <c r="S31" i="5"/>
  <c r="T31" i="5"/>
  <c r="S29" i="5"/>
  <c r="T29" i="5"/>
  <c r="S27" i="5"/>
  <c r="T27" i="5"/>
  <c r="S25" i="5"/>
  <c r="T25" i="5"/>
  <c r="S23" i="5"/>
  <c r="T23" i="5"/>
  <c r="S21" i="5"/>
  <c r="T21" i="5"/>
  <c r="S19" i="5"/>
  <c r="T19" i="5"/>
  <c r="S17" i="5"/>
  <c r="T17" i="5"/>
  <c r="S15" i="5"/>
  <c r="T15" i="5"/>
  <c r="S13" i="5"/>
  <c r="T13" i="5"/>
  <c r="S11" i="5"/>
  <c r="T11" i="5"/>
  <c r="S9" i="5"/>
  <c r="T9" i="5"/>
  <c r="S7" i="5"/>
  <c r="T7" i="5"/>
  <c r="S5" i="5"/>
  <c r="T5" i="5"/>
  <c r="C13" i="6" l="1"/>
  <c r="C7" i="6"/>
  <c r="C10" i="6"/>
  <c r="C5" i="6"/>
  <c r="C9" i="6"/>
  <c r="C8" i="6"/>
  <c r="C11" i="6"/>
  <c r="B45" i="6"/>
  <c r="G20" i="6"/>
  <c r="H20" i="6" s="1"/>
  <c r="B25" i="6"/>
  <c r="F25" i="6"/>
  <c r="B40" i="6"/>
  <c r="G40" i="6" s="1"/>
  <c r="F26" i="6"/>
  <c r="F41" i="6" s="1"/>
  <c r="B30" i="6"/>
  <c r="G30" i="6" s="1"/>
  <c r="B41" i="6"/>
  <c r="G21" i="6"/>
  <c r="H21" i="6" s="1"/>
  <c r="B26" i="6"/>
  <c r="G26" i="6" s="1"/>
  <c r="H26" i="6" s="1"/>
  <c r="C26" i="6" s="1"/>
  <c r="B36" i="6"/>
  <c r="B46" i="6"/>
  <c r="G46" i="6" s="1"/>
  <c r="G31" i="6"/>
  <c r="H22" i="6"/>
  <c r="D22" i="6" s="1"/>
  <c r="G47" i="6"/>
  <c r="G42" i="6"/>
  <c r="K65" i="6"/>
  <c r="C65" i="6" s="1"/>
  <c r="G27" i="6"/>
  <c r="G32" i="6"/>
  <c r="G45" i="6"/>
  <c r="G43" i="6"/>
  <c r="G38" i="6"/>
  <c r="G35" i="6"/>
  <c r="G28" i="6"/>
  <c r="G33" i="6"/>
  <c r="G41" i="6"/>
  <c r="G37" i="6"/>
  <c r="G25"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F18" i="5"/>
  <c r="E18" i="5"/>
  <c r="X18" i="5" s="1"/>
  <c r="I34" i="5"/>
  <c r="G34" i="5"/>
  <c r="I50" i="5"/>
  <c r="J50"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I18" i="5"/>
  <c r="J34" i="5"/>
  <c r="F34" i="5"/>
  <c r="G50"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G18" i="5"/>
  <c r="H34" i="5"/>
  <c r="R50" i="5"/>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H41" i="6" l="1"/>
  <c r="F36" i="6"/>
  <c r="F63" i="6"/>
  <c r="H25" i="6"/>
  <c r="H36" i="6"/>
  <c r="C36" i="6" s="1"/>
  <c r="D20" i="6"/>
  <c r="K62" i="6"/>
  <c r="C62" i="6" s="1"/>
  <c r="F45" i="6"/>
  <c r="H45" i="6" s="1"/>
  <c r="F62" i="6"/>
  <c r="B2" i="6" s="1"/>
  <c r="F40" i="6"/>
  <c r="H40" i="6" s="1"/>
  <c r="D40" i="6" s="1"/>
  <c r="F35" i="6"/>
  <c r="H35" i="6" s="1"/>
  <c r="F30" i="6"/>
  <c r="H30" i="6" s="1"/>
  <c r="F46" i="6"/>
  <c r="H46" i="6" s="1"/>
  <c r="F31" i="6"/>
  <c r="H31" i="6" s="1"/>
  <c r="D31" i="6" s="1"/>
  <c r="C20" i="6"/>
  <c r="D21" i="6"/>
  <c r="C21" i="6"/>
  <c r="K63" i="6"/>
  <c r="C63" i="6" s="1"/>
  <c r="D26" i="6"/>
  <c r="H32" i="6"/>
  <c r="C32" i="6" s="1"/>
  <c r="C22" i="6"/>
  <c r="C41" i="6"/>
  <c r="D41" i="6"/>
  <c r="F38" i="6"/>
  <c r="H38" i="6" s="1"/>
  <c r="F43" i="6"/>
  <c r="H43" i="6" s="1"/>
  <c r="H28" i="6"/>
  <c r="F65" i="6"/>
  <c r="F33" i="6"/>
  <c r="H33" i="6" s="1"/>
  <c r="F48" i="6"/>
  <c r="H48" i="6" s="1"/>
  <c r="F66" i="6"/>
  <c r="C66" i="6" s="1"/>
  <c r="C42" i="6"/>
  <c r="D42" i="6"/>
  <c r="X621" i="5"/>
  <c r="C27" i="6"/>
  <c r="D27" i="6"/>
  <c r="F56" i="6"/>
  <c r="H56" i="6" s="1"/>
  <c r="F59" i="6"/>
  <c r="H59" i="6" s="1"/>
  <c r="F54" i="6"/>
  <c r="H54" i="6" s="1"/>
  <c r="C54" i="6" s="1"/>
  <c r="F51" i="6"/>
  <c r="F55" i="6"/>
  <c r="H55" i="6" s="1"/>
  <c r="F60" i="6"/>
  <c r="H60" i="6" s="1"/>
  <c r="F58" i="6"/>
  <c r="H58" i="6" s="1"/>
  <c r="F53" i="6"/>
  <c r="H53" i="6" s="1"/>
  <c r="H50" i="6"/>
  <c r="C61" i="6"/>
  <c r="D61" i="6"/>
  <c r="C37" i="6"/>
  <c r="D37" i="6"/>
  <c r="D47" i="6"/>
  <c r="C47" i="6"/>
  <c r="D35" i="6" l="1"/>
  <c r="C35" i="6"/>
  <c r="D36" i="6"/>
  <c r="C25" i="6"/>
  <c r="D25" i="6"/>
  <c r="D32"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H64" i="6" l="1"/>
  <c r="D64" i="6" s="1"/>
  <c r="C64" i="6"/>
  <c r="G66" i="6"/>
  <c r="H66" i="6" s="1"/>
  <c r="H67" i="6" s="1"/>
  <c r="D2" i="6" s="1"/>
  <c r="D52" i="6"/>
  <c r="C52" i="6"/>
  <c r="D51" i="6"/>
  <c r="C51" i="6"/>
</calcChain>
</file>

<file path=xl/comments1.xml><?xml version="1.0" encoding="utf-8"?>
<comments xmlns="http://schemas.openxmlformats.org/spreadsheetml/2006/main">
  <authors>
    <author>a64a</author>
  </authors>
  <commentList>
    <comment ref="P3" authorId="0">
      <text>
        <r>
          <rPr>
            <sz val="9"/>
            <color indexed="81"/>
            <rFont val="ＭＳ Ｐゴシック"/>
            <family val="3"/>
            <charset val="128"/>
          </rPr>
          <t>location number in language list</t>
        </r>
      </text>
    </comment>
    <comment ref="P9" authorId="0">
      <text>
        <r>
          <rPr>
            <sz val="9"/>
            <color indexed="81"/>
            <rFont val="ＭＳ Ｐゴシック"/>
            <family val="3"/>
            <charset val="128"/>
          </rPr>
          <t>list for Validation in D9</t>
        </r>
      </text>
    </comment>
    <comment ref="P26" authorId="0">
      <text>
        <r>
          <rPr>
            <sz val="9"/>
            <color indexed="81"/>
            <rFont val="ＭＳ Ｐゴシック"/>
            <family val="3"/>
            <charset val="128"/>
          </rPr>
          <t>condition for answer Q3 and later</t>
        </r>
      </text>
    </comment>
    <comment ref="Q31" authorId="0">
      <text>
        <r>
          <rPr>
            <sz val="9"/>
            <color indexed="81"/>
            <rFont val="ＭＳ Ｐゴシック"/>
            <family val="3"/>
            <charset val="128"/>
          </rPr>
          <t>condition for answer</t>
        </r>
      </text>
    </comment>
    <comment ref="P32" authorId="0">
      <text>
        <r>
          <rPr>
            <sz val="9"/>
            <color indexed="81"/>
            <rFont val="ＭＳ Ｐゴシック"/>
            <family val="3"/>
            <charset val="128"/>
          </rPr>
          <t>condition for answer Q3 and later</t>
        </r>
      </text>
    </comment>
    <comment ref="Q37" author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<sst xmlns="http://schemas.openxmlformats.org/spreadsheetml/2006/main" count="21647" uniqueCount="15436">
  <si>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</si>
  <si>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</si>
  <si>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</si>
  <si>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</si>
  <si>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</si>
  <si>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</si>
  <si>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</si>
  <si>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</si>
  <si>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</si>
  <si>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</si>
  <si>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</si>
  <si>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</si>
  <si>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</si>
  <si>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</si>
  <si>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</si>
  <si>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</si>
  <si>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</si>
  <si>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</si>
  <si>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</si>
  <si>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</si>
  <si>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</si>
  <si>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</si>
  <si>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</si>
  <si>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</si>
  <si>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</si>
  <si>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</si>
  <si>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</si>
  <si>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</si>
  <si>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</si>
  <si>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</si>
  <si>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</si>
  <si>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</si>
  <si>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</si>
  <si>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</si>
  <si>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</si>
  <si>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</si>
  <si>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</si>
  <si>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</si>
  <si>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</si>
  <si>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</si>
  <si>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</si>
  <si>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</si>
  <si>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</si>
  <si>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</si>
  <si>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</si>
  <si>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</si>
  <si>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</si>
  <si>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</si>
  <si>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</si>
  <si>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</si>
  <si>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</si>
  <si>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</si>
  <si>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</si>
  <si>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</si>
  <si>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</si>
  <si>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</si>
  <si>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</si>
  <si>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</si>
  <si>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</si>
  <si>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</si>
  <si>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</si>
  <si>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</si>
  <si>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</si>
  <si>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</si>
  <si>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</si>
  <si>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</si>
  <si>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</si>
  <si>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</si>
  <si>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</si>
  <si>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</si>
  <si>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</si>
  <si>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</si>
  <si>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</si>
  <si>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</si>
  <si>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</si>
  <si>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</si>
  <si>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</si>
  <si>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</si>
  <si>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</si>
  <si>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</si>
  <si>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</si>
  <si>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</si>
  <si>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</si>
  <si>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</si>
  <si>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</si>
  <si>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</si>
  <si>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</si>
  <si>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</si>
  <si>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</si>
  <si>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</si>
  <si>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</si>
  <si>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</si>
  <si>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</si>
  <si>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</si>
  <si>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</si>
  <si>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</si>
  <si>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</si>
  <si>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</si>
  <si>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</si>
  <si>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</si>
  <si>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</si>
  <si>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</si>
  <si>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</si>
  <si>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</si>
  <si>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</si>
  <si>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</si>
  <si>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</si>
  <si>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</si>
  <si>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</si>
  <si>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</si>
  <si>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</si>
  <si>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</si>
  <si>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</si>
  <si>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</si>
  <si>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</si>
  <si>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</si>
  <si>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</si>
  <si>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</si>
  <si>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</si>
  <si>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</si>
  <si>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</si>
  <si>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</si>
  <si>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</si>
  <si>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</si>
  <si>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</si>
  <si>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</si>
  <si>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</si>
  <si>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</si>
  <si>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</si>
  <si>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</si>
  <si>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</si>
  <si>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</si>
  <si>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</si>
  <si>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</si>
  <si>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</si>
  <si>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</si>
  <si>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</si>
  <si>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</si>
  <si>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</si>
  <si>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</si>
  <si>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</si>
  <si>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</si>
  <si>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</si>
  <si>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</si>
  <si>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</si>
  <si>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</si>
  <si>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</si>
  <si>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</si>
  <si>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</si>
  <si>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</si>
  <si>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</si>
  <si>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</si>
  <si>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</si>
  <si>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</si>
  <si>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</si>
  <si>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</si>
  <si>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</si>
  <si>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</si>
  <si>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</si>
  <si>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</si>
  <si>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</si>
  <si>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</si>
  <si>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</si>
  <si>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</si>
  <si>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</si>
  <si>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</si>
  <si>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</si>
  <si>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</si>
  <si>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</si>
  <si>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</si>
  <si>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</si>
  <si>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</si>
  <si>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</si>
  <si>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</si>
  <si>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</si>
  <si>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</si>
  <si>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</si>
  <si>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</si>
  <si>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</si>
  <si>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</si>
  <si>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</si>
  <si>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</si>
  <si>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</si>
  <si>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</si>
  <si>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</si>
  <si>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</si>
  <si>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</si>
  <si>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</si>
  <si>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</si>
  <si>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</si>
  <si>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</si>
  <si>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</si>
  <si>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</si>
  <si>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</si>
  <si>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</si>
  <si>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</si>
  <si>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</si>
  <si>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</si>
  <si>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</si>
  <si>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</si>
  <si>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</si>
  <si>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</si>
  <si>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</si>
  <si>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</si>
  <si>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</si>
  <si>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</si>
  <si>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</si>
  <si>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</si>
  <si>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</si>
  <si>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</si>
  <si>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</si>
  <si>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</si>
  <si>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</si>
  <si>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</si>
  <si>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</si>
  <si>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</si>
  <si>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</si>
  <si>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</si>
  <si>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</si>
  <si>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</si>
  <si>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</si>
  <si>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</si>
  <si>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</si>
  <si>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</si>
  <si>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</si>
  <si>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</si>
  <si>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</si>
  <si>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</si>
  <si>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</si>
  <si>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</si>
  <si>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</si>
  <si>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</si>
  <si>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</si>
  <si>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</si>
  <si>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</si>
  <si>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</si>
  <si>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</si>
  <si>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</si>
  <si>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</si>
  <si>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</si>
  <si>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</si>
  <si>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</si>
  <si>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</si>
  <si>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</si>
  <si>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</si>
  <si>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</si>
  <si>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</si>
  <si>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</si>
  <si>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</si>
  <si>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</si>
  <si>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</si>
  <si>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</si>
  <si>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</si>
  <si>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</si>
  <si>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</si>
  <si>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</si>
  <si>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</si>
  <si>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</si>
  <si>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</si>
  <si>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</si>
  <si>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</si>
  <si>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</si>
  <si>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</si>
  <si>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</si>
  <si>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</si>
  <si>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</si>
  <si>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</si>
  <si>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</si>
  <si>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</si>
  <si>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</si>
  <si>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</si>
  <si>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</si>
  <si>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</si>
  <si>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</si>
  <si>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</si>
  <si>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</si>
  <si>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</si>
  <si>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</si>
  <si>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</si>
  <si>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</si>
  <si>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</si>
  <si>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</si>
  <si>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</si>
  <si>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</si>
  <si>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</si>
  <si>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</si>
  <si>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</si>
  <si>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</si>
  <si>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</si>
  <si>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</si>
  <si>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</si>
  <si>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</si>
  <si>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</si>
  <si>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</si>
  <si>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</si>
  <si>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</si>
  <si>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</si>
  <si>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</si>
  <si>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</si>
  <si>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</si>
  <si>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</si>
  <si>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</si>
  <si>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</si>
  <si>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</si>
  <si>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</si>
  <si>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</si>
  <si>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</si>
  <si>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</si>
  <si>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</si>
  <si>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</si>
  <si>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</si>
  <si>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</si>
  <si>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</si>
  <si>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</si>
  <si>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</si>
  <si>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</si>
  <si>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</si>
  <si>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</si>
  <si>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</si>
  <si>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</si>
  <si>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</si>
  <si>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</si>
  <si>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</si>
  <si>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</si>
  <si>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</si>
  <si>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</si>
  <si>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</si>
  <si>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</si>
  <si>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</si>
  <si>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</si>
  <si>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</si>
  <si>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</si>
  <si>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</si>
  <si>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</si>
  <si>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</si>
  <si>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</si>
  <si>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</si>
  <si>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</si>
  <si>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</si>
  <si>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</si>
  <si>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</si>
  <si>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</si>
  <si>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</si>
  <si>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</si>
  <si>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</si>
  <si>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</si>
  <si>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</si>
  <si>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</si>
  <si>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</si>
  <si>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</si>
  <si>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</si>
  <si>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</si>
  <si>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</si>
  <si>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</si>
  <si>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</si>
  <si>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</si>
  <si>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</si>
  <si>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</si>
  <si>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</si>
  <si>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</si>
  <si>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</si>
  <si>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</si>
  <si>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</si>
  <si>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</si>
  <si>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</si>
  <si>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</si>
  <si>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</si>
  <si>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</si>
  <si>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</si>
  <si>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</si>
  <si>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</si>
  <si>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</si>
  <si>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</si>
  <si>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</si>
  <si>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</si>
  <si>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</si>
  <si>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</si>
  <si>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</si>
  <si>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</si>
  <si>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</si>
  <si>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</si>
  <si>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</si>
  <si>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</si>
  <si>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</si>
  <si>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</si>
  <si>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</si>
  <si>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</si>
  <si>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</si>
  <si>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</si>
  <si>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</si>
  <si>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</si>
  <si>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</si>
  <si>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</si>
  <si>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</si>
  <si>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</si>
  <si>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</si>
  <si>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</si>
  <si>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</si>
  <si>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</si>
  <si>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</si>
  <si>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</si>
  <si>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</si>
  <si>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</si>
  <si>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</si>
  <si>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</si>
  <si>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</si>
  <si>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</si>
  <si>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</si>
  <si>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</si>
  <si>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</si>
  <si>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</si>
  <si>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</si>
  <si>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</si>
  <si>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</si>
  <si>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</si>
  <si>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</si>
  <si>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</si>
  <si>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</si>
  <si>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</si>
  <si>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</si>
  <si>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</si>
  <si>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</si>
  <si>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</si>
  <si>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</si>
  <si>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</si>
  <si>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</si>
  <si>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</si>
  <si>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</si>
  <si>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</si>
  <si>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</si>
  <si>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</si>
  <si>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</si>
  <si>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</si>
  <si>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</si>
  <si>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</si>
  <si>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</si>
  <si>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</si>
  <si>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</si>
  <si>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</si>
  <si>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</si>
  <si>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</si>
  <si>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</si>
  <si>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</si>
  <si>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</si>
  <si>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</si>
  <si>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</si>
  <si>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</si>
  <si>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</si>
  <si>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</si>
  <si>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</si>
  <si>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</si>
  <si>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</si>
  <si>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</si>
  <si>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</si>
  <si>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</si>
  <si>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</si>
  <si>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</si>
  <si>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</si>
  <si>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</si>
  <si>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</si>
  <si>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</si>
  <si>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</si>
  <si>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</si>
  <si>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</si>
  <si>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</si>
  <si>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</si>
  <si>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</si>
  <si>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</si>
  <si>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</si>
  <si>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</si>
  <si>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</si>
  <si>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</si>
  <si>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</si>
  <si>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</si>
  <si>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</si>
  <si>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</si>
  <si>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</si>
  <si>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</si>
  <si>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</si>
  <si>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</si>
  <si>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</si>
  <si>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</si>
  <si>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</si>
  <si>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</si>
  <si>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</si>
  <si>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</si>
  <si>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</si>
  <si>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</si>
  <si>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</si>
  <si>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</si>
  <si>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</si>
  <si>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</si>
  <si>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</si>
  <si>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</si>
  <si>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</si>
  <si>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</si>
  <si>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</si>
  <si>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</si>
  <si>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</si>
  <si>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</si>
  <si>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</si>
  <si>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</si>
  <si>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</si>
  <si>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</si>
  <si>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</si>
  <si>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</si>
  <si>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</si>
  <si>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</si>
  <si>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</si>
  <si>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</si>
  <si>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</si>
  <si>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</si>
  <si>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</si>
  <si>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</si>
  <si>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</si>
  <si>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</si>
  <si>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</si>
  <si>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</si>
  <si>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</si>
  <si>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</si>
  <si>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</si>
  <si>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</si>
  <si>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</si>
  <si>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</si>
  <si>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</si>
  <si>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</si>
  <si>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</si>
  <si>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</si>
  <si>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</si>
  <si>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</si>
  <si>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</si>
  <si>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</si>
  <si>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</si>
  <si>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</si>
  <si>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</si>
  <si>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</si>
  <si>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</si>
  <si>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</si>
  <si>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</si>
  <si>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</si>
  <si>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</si>
  <si>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</si>
  <si>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</si>
  <si>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</si>
  <si>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</si>
  <si>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</si>
  <si>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</si>
  <si>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</si>
  <si>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</si>
  <si>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</si>
  <si>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</si>
  <si>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</si>
  <si>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</si>
  <si>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</si>
  <si>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</si>
  <si>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</si>
  <si>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</si>
  <si>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</si>
  <si>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</si>
  <si>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</si>
  <si>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</si>
  <si>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</si>
  <si>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</si>
  <si>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</si>
  <si>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</si>
  <si>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</si>
  <si>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</si>
  <si>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</si>
  <si>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</si>
  <si>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</si>
  <si>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</si>
  <si>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</si>
  <si>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</si>
  <si>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</si>
  <si>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</si>
  <si>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</si>
  <si>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</si>
  <si>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</si>
  <si>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</si>
  <si>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</si>
  <si>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</si>
  <si>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</si>
  <si>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</si>
  <si>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</si>
  <si>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</si>
  <si>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</si>
  <si>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</si>
  <si>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</si>
  <si>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</si>
  <si>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</si>
  <si>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</si>
  <si>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</si>
  <si>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</si>
  <si>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</si>
  <si>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</si>
  <si>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</si>
  <si>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</si>
  <si>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</si>
  <si>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</si>
  <si>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</si>
  <si>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</si>
  <si>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</si>
  <si>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</si>
  <si>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</si>
  <si>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</si>
  <si>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</si>
  <si>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</si>
  <si>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</si>
  <si>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</si>
  <si>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</si>
  <si>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</si>
  <si>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</si>
  <si>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</si>
  <si>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</si>
  <si>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</si>
  <si>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</si>
  <si>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</si>
  <si>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</si>
  <si>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</si>
  <si>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</si>
  <si>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</si>
  <si>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</si>
  <si>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</si>
  <si>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</si>
  <si>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</si>
  <si>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</si>
  <si>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</si>
  <si>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</si>
  <si>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</si>
  <si>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</si>
  <si>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</si>
  <si>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</si>
  <si>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</si>
  <si>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</si>
  <si>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</si>
  <si>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</si>
  <si>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</si>
  <si>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</si>
  <si>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</si>
  <si>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</si>
  <si>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</si>
  <si>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</si>
  <si>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</si>
  <si>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</si>
  <si>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</si>
  <si>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</si>
  <si>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</si>
  <si>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</si>
  <si>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</si>
  <si>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</si>
  <si>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</si>
  <si>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</si>
  <si>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</si>
  <si>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</si>
  <si>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</si>
  <si>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</si>
  <si>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</si>
  <si>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</si>
  <si>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</si>
  <si>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</si>
  <si>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</si>
  <si>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</si>
  <si>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</si>
  <si>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</si>
  <si>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</si>
  <si>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</si>
  <si>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</si>
  <si>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</si>
  <si>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</si>
  <si>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</si>
  <si>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</si>
  <si>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</si>
  <si>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</si>
  <si>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</si>
  <si>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</si>
  <si>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</si>
  <si>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</si>
  <si>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</si>
  <si>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</si>
  <si>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</si>
  <si>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</si>
  <si>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</si>
  <si>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</si>
  <si>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</si>
  <si>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</si>
  <si>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</si>
  <si>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</si>
  <si>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</si>
  <si>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</si>
  <si>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</si>
  <si>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</si>
  <si>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</si>
  <si>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</si>
  <si>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</si>
  <si>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</si>
  <si>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</si>
  <si>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</si>
  <si>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</si>
  <si>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</si>
  <si>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</si>
  <si>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</si>
  <si>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</si>
  <si>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</si>
  <si>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</si>
  <si>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</si>
  <si>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</si>
  <si>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</si>
  <si>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</si>
  <si>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</si>
  <si>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</si>
  <si>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</si>
  <si>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</si>
  <si>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</si>
  <si>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</si>
  <si>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</si>
  <si>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</si>
  <si>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</si>
  <si>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</si>
  <si>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</si>
  <si>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</si>
  <si>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</si>
  <si>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</si>
  <si>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</si>
  <si>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</si>
  <si>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</si>
  <si>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</si>
  <si>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</si>
  <si>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</si>
  <si>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</si>
  <si>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</si>
  <si>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</si>
  <si>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</si>
  <si>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</si>
  <si>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</si>
  <si>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</si>
  <si>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</si>
  <si>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</si>
  <si>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</si>
  <si>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</si>
  <si>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</si>
  <si>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</si>
  <si>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</si>
  <si>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</si>
  <si>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</si>
  <si>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</si>
  <si>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</si>
  <si>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</si>
  <si>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</si>
  <si>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</si>
  <si>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</si>
  <si>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</si>
  <si>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</si>
  <si>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</si>
  <si>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</si>
  <si>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</si>
  <si>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</si>
  <si>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</si>
  <si>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</si>
  <si>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</si>
  <si>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</si>
  <si>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</si>
  <si>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</si>
  <si>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</si>
  <si>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</si>
  <si>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</si>
  <si>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</si>
  <si>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</si>
  <si>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</si>
  <si>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</si>
  <si>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</si>
  <si>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</si>
  <si>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</si>
  <si>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</si>
  <si>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</si>
  <si>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</si>
  <si>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</si>
  <si>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</si>
  <si>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</si>
  <si>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</si>
  <si>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</si>
  <si>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</si>
  <si>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</si>
  <si>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</si>
  <si>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</si>
  <si>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</si>
  <si>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</si>
  <si>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</si>
  <si>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</si>
  <si>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</si>
  <si>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</si>
  <si>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</si>
  <si>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</si>
  <si>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</si>
  <si>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</si>
  <si>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</si>
  <si>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</si>
  <si>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</si>
  <si>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</si>
  <si>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</si>
  <si>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</si>
  <si>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</si>
  <si>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</si>
  <si>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</si>
  <si>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</si>
  <si>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</si>
  <si>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</si>
  <si>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</si>
  <si>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</si>
  <si>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</si>
  <si>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</si>
  <si>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</si>
  <si>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</si>
  <si>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</si>
  <si>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</si>
  <si>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</si>
  <si>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</si>
  <si>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</si>
  <si>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</si>
  <si>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</si>
  <si>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</si>
  <si>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</si>
  <si>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</si>
  <si>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</si>
  <si>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</si>
  <si>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</si>
  <si>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</si>
  <si>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</si>
  <si>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</si>
  <si>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</si>
  <si>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</si>
  <si>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</si>
  <si>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</si>
  <si>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</si>
  <si>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</si>
  <si>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</si>
  <si>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</si>
  <si>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</si>
  <si>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</si>
  <si>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</si>
  <si>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</si>
  <si>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</si>
  <si>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</si>
  <si>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</si>
  <si>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</si>
  <si>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</si>
  <si>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</si>
  <si>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</si>
  <si>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</si>
  <si>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</si>
  <si>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</si>
  <si>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</si>
  <si>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</si>
  <si>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</si>
  <si>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</si>
  <si>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</si>
  <si>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</si>
  <si>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</si>
  <si>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</si>
  <si>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</si>
  <si>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</si>
  <si>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</si>
  <si>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</si>
  <si>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</si>
  <si>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</si>
  <si>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</si>
  <si>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</si>
  <si>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</si>
  <si>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</si>
  <si>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</si>
  <si>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</si>
  <si>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</si>
  <si>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</si>
  <si>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</si>
  <si>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</si>
  <si>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</si>
  <si>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</si>
  <si>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</si>
  <si>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</si>
  <si>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</si>
  <si>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</si>
  <si>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</si>
  <si>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</si>
  <si>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</si>
  <si>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</si>
  <si>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</si>
  <si>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</si>
  <si>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</si>
  <si>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</si>
  <si>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</si>
  <si>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</si>
  <si>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</si>
  <si>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</si>
  <si>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</si>
  <si>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</si>
  <si>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</si>
  <si>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</si>
  <si>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</si>
  <si>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</si>
  <si>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</si>
  <si>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</si>
  <si>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</si>
  <si>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</si>
  <si>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</si>
  <si>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</si>
  <si>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</si>
  <si>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</si>
  <si>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</si>
  <si>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</si>
  <si>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</si>
  <si>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</si>
  <si>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</si>
  <si>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</si>
  <si>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</si>
  <si>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</si>
  <si>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</si>
  <si>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</si>
  <si>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</si>
  <si>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</si>
  <si>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</si>
  <si>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</si>
  <si>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</si>
  <si>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</si>
  <si>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</si>
  <si>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</si>
  <si>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</si>
  <si>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</si>
  <si>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</si>
  <si>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</si>
  <si>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</si>
  <si>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</si>
  <si>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</si>
  <si>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</si>
  <si>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</si>
  <si>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</si>
  <si>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</si>
  <si>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</si>
  <si>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</si>
  <si>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</si>
  <si>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</si>
  <si>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</si>
  <si>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</si>
  <si>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</si>
  <si>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</si>
  <si>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</si>
  <si>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</si>
  <si>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</si>
  <si>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</si>
  <si>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</si>
  <si>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</si>
  <si>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</si>
  <si>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</si>
  <si>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</si>
  <si>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</si>
  <si>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</si>
  <si>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</si>
  <si>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</si>
  <si>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</si>
  <si>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</si>
  <si>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</si>
  <si>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</si>
  <si>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</si>
  <si>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</si>
  <si>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</si>
  <si>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</si>
  <si>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</si>
  <si>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</si>
  <si>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</si>
  <si>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</si>
  <si>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</si>
  <si>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</si>
  <si>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</si>
  <si>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</si>
  <si>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</si>
  <si>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</si>
  <si>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</si>
  <si>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</si>
  <si>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</si>
  <si>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</si>
  <si>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</si>
  <si>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</si>
  <si>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</si>
  <si>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</si>
  <si>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</si>
  <si>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</si>
  <si>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</si>
  <si>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</si>
  <si>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</si>
  <si>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</si>
  <si>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</si>
  <si>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</si>
  <si>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</si>
  <si>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</si>
  <si>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</si>
  <si>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</si>
  <si>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</si>
  <si>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</si>
  <si>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</si>
  <si>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</si>
  <si>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</si>
  <si>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</si>
  <si>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</si>
  <si>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</si>
  <si>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</si>
  <si>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</si>
  <si>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</si>
  <si>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</si>
  <si>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</si>
  <si>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</si>
  <si>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</si>
  <si>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</si>
  <si>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</si>
  <si>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</si>
  <si>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</si>
  <si>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</si>
  <si>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</si>
  <si>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</si>
  <si>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</si>
  <si>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</si>
  <si>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</si>
  <si>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</si>
  <si>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</si>
  <si>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</si>
  <si>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</si>
  <si>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</si>
  <si>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</si>
  <si>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</si>
  <si>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</si>
  <si>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</si>
  <si>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</si>
  <si>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</si>
  <si>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</si>
  <si>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</si>
  <si>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</si>
  <si>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</si>
  <si>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</si>
  <si>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</si>
  <si>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</si>
  <si>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</si>
  <si>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</si>
  <si>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</si>
  <si>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</si>
  <si>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</si>
  <si>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</si>
  <si>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</si>
  <si>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</si>
  <si>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</si>
  <si>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</si>
  <si>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</si>
  <si>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</si>
  <si>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</si>
  <si>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</si>
  <si>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</si>
  <si>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</si>
  <si>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</si>
  <si>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</si>
  <si>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</si>
  <si>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</si>
  <si>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</si>
  <si>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</si>
  <si>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</si>
  <si>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</si>
  <si>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</si>
  <si>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</si>
  <si>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</si>
  <si>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</si>
  <si>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</si>
  <si>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</si>
  <si>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</si>
  <si>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</si>
  <si>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</si>
  <si>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</si>
  <si>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</si>
  <si>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</si>
  <si>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</si>
  <si>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</si>
  <si>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</si>
  <si>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</si>
  <si>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</si>
  <si>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</si>
  <si>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</si>
  <si>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</si>
  <si>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</si>
  <si>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</si>
  <si>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</si>
  <si>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</si>
  <si>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</si>
  <si>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</si>
  <si>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</si>
  <si>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</si>
  <si>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</si>
  <si>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</si>
  <si>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</si>
  <si>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</si>
  <si>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</si>
  <si>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</si>
  <si>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</si>
  <si>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</si>
  <si>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</si>
  <si>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</si>
  <si>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</si>
  <si>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</si>
  <si>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</si>
  <si>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</si>
  <si>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</si>
  <si>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</si>
  <si>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</si>
  <si>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</si>
  <si>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</si>
  <si>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</si>
  <si>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</si>
  <si>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</si>
  <si>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</si>
  <si>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</si>
  <si>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</si>
  <si>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</si>
  <si>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</si>
  <si>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</si>
  <si>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</si>
  <si>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</si>
  <si>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</si>
  <si>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</si>
  <si>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</si>
  <si>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</si>
  <si>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</si>
  <si>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</si>
  <si>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</si>
  <si>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</si>
  <si>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</si>
  <si>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</si>
  <si>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</si>
  <si>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</si>
  <si>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</si>
  <si>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</si>
  <si>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</si>
  <si>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</si>
  <si>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</si>
  <si>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</si>
  <si>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</si>
  <si>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</si>
  <si>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</si>
  <si>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</si>
  <si>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</si>
  <si>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</si>
  <si>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</si>
  <si>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</si>
  <si>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</si>
  <si>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</si>
  <si>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</si>
  <si>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</si>
  <si>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</si>
  <si>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</si>
  <si>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</si>
  <si>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</si>
  <si>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</si>
  <si>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</si>
  <si>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</si>
  <si>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</si>
  <si>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</si>
  <si>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</si>
  <si>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</si>
  <si>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</si>
  <si>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</si>
  <si>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</si>
  <si>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</si>
  <si>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</si>
  <si>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</si>
  <si>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</si>
  <si>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</si>
  <si>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</si>
  <si>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</si>
  <si>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</si>
  <si>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</si>
  <si>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</si>
  <si>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</si>
  <si>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</si>
  <si>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</si>
  <si>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</si>
  <si>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</si>
  <si>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</si>
  <si>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</si>
  <si>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</si>
  <si>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</si>
  <si>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</si>
  <si>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</si>
  <si>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</si>
  <si>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</si>
  <si>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</si>
  <si>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</si>
  <si>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</si>
  <si>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</si>
  <si>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</si>
  <si>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</si>
  <si>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</si>
  <si>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</si>
  <si>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</si>
  <si>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</si>
  <si>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</si>
  <si>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</si>
  <si>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</si>
  <si>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</si>
  <si>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</si>
  <si>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</si>
  <si>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</si>
  <si>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</si>
  <si>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</si>
  <si>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</si>
  <si>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</si>
  <si>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</si>
  <si>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</si>
  <si>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</si>
  <si>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</si>
  <si>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</si>
  <si>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</si>
  <si>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</si>
  <si>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</si>
  <si>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</si>
  <si>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</si>
  <si>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</si>
  <si>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</si>
  <si>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</si>
  <si>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</si>
  <si>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</si>
  <si>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</si>
  <si>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</si>
  <si>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</si>
  <si>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</si>
  <si>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</si>
  <si>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</si>
  <si>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</si>
  <si>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</si>
  <si>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</si>
  <si>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</si>
  <si>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</si>
  <si>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</si>
  <si>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</si>
  <si>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</si>
  <si>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</si>
  <si>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</si>
  <si>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</si>
  <si>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</si>
  <si>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</si>
  <si>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</si>
  <si>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</si>
  <si>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</si>
  <si>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</si>
  <si>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</si>
  <si>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</si>
  <si>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</si>
  <si>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</si>
  <si>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</si>
  <si>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</si>
  <si>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</si>
  <si>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</si>
  <si>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</si>
  <si>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</si>
  <si>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</si>
  <si>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</si>
  <si>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</si>
  <si>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</si>
  <si>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</si>
  <si>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</si>
  <si>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</si>
  <si>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</si>
  <si>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</si>
  <si>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</si>
  <si>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</si>
  <si>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</si>
  <si>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</si>
  <si>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</si>
  <si>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</si>
  <si>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</si>
  <si>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</si>
  <si>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</si>
  <si>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</si>
  <si>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</si>
  <si>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</si>
  <si>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</si>
  <si>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</si>
  <si>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</si>
  <si>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</si>
  <si>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</si>
  <si>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</si>
  <si>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</si>
  <si>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</si>
  <si>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</si>
  <si>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</si>
  <si>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</si>
  <si>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</si>
  <si>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</si>
  <si>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</si>
  <si>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</si>
  <si>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</si>
  <si>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</si>
  <si>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</si>
  <si>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</si>
  <si>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</si>
  <si>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</si>
  <si>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</si>
  <si>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</si>
  <si>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</si>
  <si>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</si>
  <si>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</si>
  <si>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</si>
  <si>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</si>
  <si>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</si>
  <si>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</si>
  <si>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</si>
  <si>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</si>
  <si>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</si>
  <si>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</si>
  <si>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</si>
  <si>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</si>
  <si>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</si>
  <si>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</si>
  <si>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</si>
  <si>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</si>
  <si>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</si>
  <si>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</si>
  <si>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</si>
  <si>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</si>
  <si>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</si>
  <si>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</si>
  <si>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</si>
  <si>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</si>
  <si>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</si>
  <si>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</si>
  <si>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</si>
  <si>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</si>
  <si>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</si>
  <si>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</si>
  <si>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</si>
  <si>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</si>
  <si>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</si>
  <si>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</si>
  <si>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</si>
  <si>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</si>
  <si>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</si>
  <si>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</si>
  <si>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</si>
  <si>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</si>
  <si>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</si>
  <si>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</si>
  <si>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</si>
  <si>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</si>
  <si>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</si>
  <si>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</si>
  <si>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</si>
  <si>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</si>
  <si>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</si>
  <si>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</si>
  <si>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</si>
  <si>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</si>
  <si>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</si>
  <si>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</si>
  <si>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</si>
  <si>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</si>
  <si>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</si>
  <si>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</si>
  <si>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</si>
  <si>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</si>
  <si>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</si>
  <si>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</si>
  <si>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</si>
  <si>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</si>
  <si>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</si>
  <si>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</si>
  <si>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</si>
  <si>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</si>
  <si>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</si>
  <si>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</si>
  <si>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</si>
  <si>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</si>
  <si>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</si>
  <si>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</si>
  <si>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</si>
  <si>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</si>
  <si>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</si>
  <si>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</si>
  <si>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</si>
  <si>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</si>
  <si>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</si>
  <si>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</si>
  <si>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</si>
  <si>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</si>
  <si>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</si>
  <si>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</si>
  <si>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</si>
  <si>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</si>
  <si>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</si>
  <si>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</si>
  <si>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</si>
  <si>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</si>
  <si>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</si>
  <si>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</si>
  <si>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</si>
  <si>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</si>
  <si>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</si>
  <si>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</si>
  <si>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</si>
  <si>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</si>
  <si>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</si>
  <si>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</si>
  <si>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</si>
  <si>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</si>
  <si>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</si>
  <si>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</si>
  <si>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</si>
  <si>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</si>
  <si>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</si>
  <si>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</si>
  <si>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</si>
  <si>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</si>
  <si>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</si>
  <si>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</si>
  <si>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</si>
  <si>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</si>
  <si>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</si>
  <si>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</si>
  <si>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</si>
  <si>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</si>
  <si>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</si>
  <si>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</si>
  <si>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</si>
  <si>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</si>
  <si>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</si>
  <si>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</si>
  <si>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</si>
  <si>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</si>
  <si>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</si>
  <si>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</si>
  <si>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</si>
  <si>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</si>
  <si>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</si>
  <si>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</si>
  <si>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</si>
  <si>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</si>
  <si>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</si>
  <si>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</si>
  <si>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</si>
  <si>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</si>
  <si>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</si>
  <si>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</si>
  <si>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</si>
  <si>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</si>
  <si>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</si>
  <si>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</si>
  <si>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</si>
  <si>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</si>
  <si>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</si>
  <si>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</si>
  <si>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</si>
  <si>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</si>
  <si>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</si>
  <si>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</si>
  <si>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</si>
  <si>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</si>
  <si>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</si>
  <si>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</si>
  <si>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</si>
  <si>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</si>
  <si>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</si>
  <si>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</si>
  <si>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</si>
  <si>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</si>
  <si>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</si>
  <si>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</si>
  <si>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</si>
  <si>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</si>
  <si>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</si>
  <si>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</si>
  <si>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</si>
  <si>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</si>
  <si>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</si>
  <si>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</si>
  <si>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</si>
  <si>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</si>
  <si>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</si>
  <si>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</si>
  <si>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</si>
  <si>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</si>
  <si>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</si>
  <si>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</si>
  <si>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</si>
  <si>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</si>
  <si>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</si>
  <si>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</si>
  <si>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</si>
  <si>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</si>
  <si>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</si>
  <si>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</si>
  <si>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</si>
  <si>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</si>
  <si>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</si>
  <si>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</si>
  <si>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</si>
  <si>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</si>
  <si>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</si>
  <si>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</si>
  <si>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</si>
  <si>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</si>
  <si>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</si>
  <si>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</si>
  <si>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</si>
  <si>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</si>
  <si>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</si>
  <si>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</si>
  <si>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</si>
  <si>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</si>
  <si>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</si>
  <si>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</si>
  <si>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</si>
  <si>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</si>
  <si>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</si>
  <si>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</si>
  <si>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</si>
  <si>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</si>
  <si>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</si>
  <si>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</si>
  <si>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</si>
  <si>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</si>
  <si>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</si>
  <si>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</si>
  <si>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</si>
  <si>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</si>
  <si>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</si>
  <si>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</si>
  <si>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</si>
  <si>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</si>
  <si>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</si>
  <si>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</si>
  <si>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</si>
  <si>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</si>
  <si>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</si>
  <si>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</si>
  <si>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</si>
  <si>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</si>
  <si>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</si>
  <si>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</si>
  <si>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</si>
  <si>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</si>
  <si>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</si>
  <si>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</si>
  <si>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</si>
  <si>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</si>
  <si>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</si>
  <si>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</si>
  <si>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</si>
  <si>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</si>
  <si>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</si>
  <si>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</si>
  <si>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</si>
  <si>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</si>
  <si>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</si>
  <si>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</si>
  <si>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</si>
  <si>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</si>
  <si>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</si>
  <si>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</si>
  <si>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</si>
  <si>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</si>
  <si>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</si>
  <si>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</si>
  <si>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</si>
  <si>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</si>
  <si>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</si>
  <si>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</si>
  <si>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</si>
  <si>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</si>
  <si>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</si>
  <si>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</si>
  <si>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</si>
  <si>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</si>
  <si>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</si>
  <si>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</si>
  <si>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</si>
  <si>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</si>
  <si>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</si>
  <si>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</si>
  <si>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</si>
  <si>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</si>
  <si>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</si>
  <si>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</si>
  <si>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</si>
  <si>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</si>
  <si>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</si>
  <si>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</si>
  <si>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</si>
  <si>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</si>
  <si>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</si>
  <si>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</si>
  <si>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</si>
  <si>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</si>
  <si>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</si>
  <si>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</si>
  <si>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</si>
  <si>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</si>
  <si>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</si>
  <si>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</si>
  <si>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</si>
  <si>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</si>
  <si>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</si>
  <si>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</si>
  <si>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</si>
  <si>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</si>
  <si>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</si>
  <si>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</si>
  <si>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</si>
  <si>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</si>
  <si>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</si>
  <si>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</si>
  <si>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</si>
  <si>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</si>
  <si>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</si>
  <si>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</si>
  <si>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</si>
  <si>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</si>
  <si>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</si>
  <si>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</si>
  <si>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</si>
  <si>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</si>
  <si>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</si>
  <si>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</si>
  <si>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</si>
  <si>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</si>
  <si>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</si>
  <si>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</si>
  <si>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</si>
  <si>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</si>
  <si>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</si>
  <si>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</si>
  <si>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</si>
  <si>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</si>
  <si>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</si>
  <si>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</si>
  <si>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</si>
  <si>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</si>
  <si>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</si>
  <si>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</si>
  <si>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</si>
  <si>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</si>
  <si>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</si>
  <si>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</si>
  <si>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</si>
  <si>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</si>
  <si>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</si>
  <si>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</si>
  <si>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</si>
  <si>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</si>
  <si>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</si>
  <si>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</si>
  <si>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</si>
  <si>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</si>
  <si>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</si>
  <si>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</si>
  <si>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</si>
  <si>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</si>
  <si>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</si>
  <si>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</si>
  <si>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</si>
  <si>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</si>
  <si>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</si>
  <si>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</si>
  <si>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</si>
  <si>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</si>
  <si>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</si>
  <si>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</si>
  <si>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</si>
  <si>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</si>
  <si>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</si>
  <si>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</si>
  <si>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</si>
  <si>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</si>
  <si>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</si>
  <si>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</si>
  <si>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</si>
  <si>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</si>
  <si>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</si>
  <si>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</si>
  <si>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</si>
  <si>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</si>
  <si>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</si>
  <si>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</si>
  <si>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</si>
  <si>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</si>
  <si>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</si>
  <si>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</si>
  <si>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</si>
  <si>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</si>
  <si>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</si>
  <si>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</si>
  <si>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</si>
  <si>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</si>
  <si>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</si>
  <si>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</si>
  <si>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</si>
  <si>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</si>
  <si>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</si>
  <si>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</si>
  <si>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</si>
  <si>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</si>
  <si>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</si>
  <si>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</si>
  <si>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</si>
  <si>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</si>
  <si>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</si>
  <si>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</si>
  <si>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</si>
  <si>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</si>
  <si>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</si>
  <si>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</si>
  <si>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</si>
  <si>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</si>
  <si>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</si>
  <si>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</si>
  <si>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</si>
  <si>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</si>
  <si>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</si>
  <si>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</si>
  <si>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</si>
  <si>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</si>
  <si>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</si>
  <si>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</si>
  <si>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</si>
  <si>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</si>
  <si>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</si>
  <si>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</si>
  <si>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</si>
  <si>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</si>
  <si>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</si>
  <si>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</si>
  <si>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</si>
  <si>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</si>
  <si>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</si>
  <si>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</si>
  <si>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</si>
  <si>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</si>
  <si>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</si>
  <si>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</si>
  <si>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</si>
  <si>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</si>
  <si>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</si>
  <si>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</si>
  <si>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</si>
  <si>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</si>
  <si>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</si>
  <si>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</si>
  <si>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</si>
  <si>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</si>
  <si>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</si>
  <si>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</si>
  <si>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</si>
  <si>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</si>
  <si>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</si>
  <si>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</si>
  <si>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</si>
  <si>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</si>
  <si>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</si>
  <si>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</si>
  <si>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</si>
  <si>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</si>
  <si>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</si>
  <si>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</si>
  <si>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</si>
  <si>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</si>
  <si>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</si>
  <si>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</si>
  <si>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</si>
  <si>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</si>
  <si>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</si>
  <si>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</si>
  <si>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</si>
  <si>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</si>
  <si>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</si>
  <si>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</si>
  <si>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</si>
  <si>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</si>
  <si>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</si>
  <si>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</si>
  <si>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</si>
  <si>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</si>
  <si>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</si>
  <si>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</si>
  <si>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</si>
  <si>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</si>
  <si>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</si>
  <si>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</si>
  <si>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</si>
  <si>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</si>
  <si>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</si>
  <si>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</si>
  <si>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</si>
  <si>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</si>
  <si>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</si>
  <si>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</si>
  <si>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</si>
  <si>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</si>
  <si>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</si>
  <si>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</si>
  <si>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</si>
  <si>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</si>
  <si>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</si>
  <si>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</si>
  <si>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</si>
  <si>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</si>
  <si>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</si>
  <si>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</si>
  <si>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</si>
  <si>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</si>
  <si>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</si>
  <si>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</si>
  <si>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</si>
  <si>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</si>
  <si>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</si>
  <si>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</si>
  <si>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</si>
  <si>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</si>
  <si>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</si>
  <si>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</si>
  <si>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</si>
  <si>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</si>
  <si>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</si>
  <si>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</si>
  <si>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</si>
  <si>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</si>
  <si>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</si>
  <si>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</si>
  <si>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</si>
  <si>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</si>
  <si>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</si>
  <si>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</si>
  <si>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</si>
  <si>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</si>
  <si>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</si>
  <si>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</si>
  <si>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</si>
  <si>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</si>
  <si>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</si>
  <si>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</si>
  <si>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</si>
  <si>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</si>
  <si>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</si>
  <si>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</si>
  <si>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</si>
  <si>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</si>
  <si>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</si>
  <si>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</si>
  <si>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</si>
  <si>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</si>
  <si>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</si>
  <si>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</si>
  <si>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</si>
  <si>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</si>
  <si>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</si>
  <si>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</si>
  <si>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</si>
  <si>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</si>
  <si>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</si>
  <si>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</si>
  <si>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</si>
  <si>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</si>
  <si>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</si>
  <si>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</si>
  <si>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</si>
  <si>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</si>
  <si>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</si>
  <si>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</si>
  <si>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</si>
  <si>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</si>
  <si>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</si>
  <si>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</si>
  <si>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</si>
  <si>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</si>
  <si>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</si>
  <si>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</si>
  <si>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</si>
  <si>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</si>
  <si>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</si>
  <si>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</si>
  <si>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</si>
  <si>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</si>
  <si>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</si>
  <si>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</si>
  <si>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</si>
  <si>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</si>
  <si>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</si>
  <si>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</si>
  <si>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</si>
  <si>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</si>
  <si>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</si>
  <si>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</si>
  <si>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</si>
  <si>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</si>
  <si>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</si>
  <si>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</si>
  <si>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</si>
  <si>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</si>
  <si>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</si>
  <si>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</si>
  <si>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</si>
  <si>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</si>
  <si>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</si>
  <si>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</si>
  <si>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</si>
  <si>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</si>
  <si>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</si>
  <si>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</si>
  <si>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</si>
  <si>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</si>
  <si>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</si>
  <si>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</si>
  <si>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</si>
  <si>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</si>
  <si>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</si>
  <si>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</si>
  <si>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</si>
  <si>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</si>
  <si>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</si>
  <si>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</si>
  <si>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</si>
  <si>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</si>
  <si>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</si>
  <si>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</si>
  <si>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</si>
  <si>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</si>
  <si>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</si>
  <si>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</si>
  <si>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</si>
  <si>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</si>
  <si>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</si>
  <si>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</si>
  <si>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</si>
  <si>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</si>
  <si>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</si>
  <si>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</si>
  <si>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</si>
  <si>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</si>
  <si>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</si>
  <si>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</si>
  <si>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</si>
  <si>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</si>
  <si>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</si>
  <si>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</si>
  <si>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</si>
  <si>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</si>
  <si>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</si>
  <si>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</si>
  <si>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</si>
  <si>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</si>
  <si>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</si>
  <si>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</si>
  <si>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</si>
  <si>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</si>
  <si>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</si>
  <si>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</si>
  <si>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</si>
  <si>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</si>
  <si>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</si>
  <si>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</si>
  <si>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</si>
  <si>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</si>
  <si>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</si>
  <si>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</si>
  <si>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</si>
  <si>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</si>
  <si>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</si>
  <si>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</si>
  <si>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</si>
  <si>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</si>
  <si>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</si>
  <si>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</si>
  <si>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</si>
  <si>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</si>
  <si>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</si>
  <si>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</si>
  <si>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</si>
  <si>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</si>
  <si>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</si>
  <si>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</si>
  <si>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</si>
  <si>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</si>
  <si>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</si>
  <si>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</si>
  <si>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</si>
  <si>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</si>
  <si>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</si>
  <si>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</si>
  <si>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</si>
  <si>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</si>
  <si>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</si>
  <si>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</si>
  <si>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</si>
  <si>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</si>
  <si>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</si>
  <si>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</si>
  <si>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</si>
  <si>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</si>
  <si>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</si>
  <si>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</si>
  <si>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</si>
  <si>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</si>
  <si>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</si>
  <si>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</si>
  <si>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</si>
  <si>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</si>
  <si>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</si>
  <si>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</si>
  <si>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</si>
  <si>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</si>
  <si>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</si>
  <si>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</si>
  <si>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</si>
  <si>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</si>
  <si>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</si>
  <si>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</si>
  <si>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</si>
  <si>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</si>
  <si>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</si>
  <si>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</si>
  <si>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</si>
  <si>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</si>
  <si>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</si>
  <si>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</si>
  <si>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</si>
  <si>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</si>
  <si>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</si>
  <si>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</si>
  <si>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</si>
  <si>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</si>
  <si>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</si>
  <si>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</si>
  <si>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</si>
  <si>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</si>
  <si>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</si>
  <si>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</si>
  <si>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</si>
  <si>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</si>
  <si>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</si>
  <si>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</si>
  <si>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</si>
  <si>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</si>
  <si>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</si>
  <si>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</si>
  <si>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</si>
  <si>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</si>
  <si>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</si>
  <si>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</si>
  <si>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</si>
  <si>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</si>
  <si>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</si>
  <si>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</si>
  <si>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</si>
  <si>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</si>
  <si>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</si>
  <si>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</si>
  <si>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</si>
  <si>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</si>
  <si>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</si>
  <si>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</si>
  <si>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</si>
  <si>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</si>
  <si>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</si>
  <si>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</si>
  <si>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</si>
  <si>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</si>
  <si>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</si>
  <si>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</si>
  <si>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</si>
  <si>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</si>
  <si>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</si>
  <si>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</si>
  <si>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</si>
  <si>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</si>
  <si>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</si>
  <si>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</si>
  <si>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</si>
  <si>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</si>
  <si>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</si>
  <si>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</si>
  <si>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</si>
  <si>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</si>
  <si>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</si>
  <si>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</si>
  <si>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</si>
  <si>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</si>
  <si>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</si>
  <si>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</si>
  <si>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</si>
  <si>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</si>
  <si>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</si>
  <si>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</si>
  <si>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</si>
  <si>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</si>
  <si>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</si>
  <si>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</si>
  <si>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</si>
  <si>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</si>
  <si>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</si>
  <si>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</si>
  <si>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</si>
  <si>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</si>
  <si>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</si>
  <si>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</si>
  <si>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</si>
  <si>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</si>
  <si>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</si>
  <si>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</si>
  <si>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</si>
  <si>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</si>
  <si>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</si>
  <si>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</si>
  <si>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</si>
  <si>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</si>
  <si>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</si>
  <si>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</si>
  <si>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</si>
  <si>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</si>
  <si>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</si>
  <si>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</si>
  <si>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</si>
  <si>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</si>
  <si>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</si>
  <si>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</si>
  <si>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</si>
  <si>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</si>
  <si>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</si>
  <si>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</si>
  <si>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</si>
  <si>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</si>
  <si>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</si>
  <si>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</si>
  <si>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</si>
  <si>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</si>
  <si>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</si>
  <si>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</si>
  <si>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</si>
  <si>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</si>
  <si>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</si>
  <si>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</si>
  <si>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</si>
  <si>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</si>
  <si>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</si>
  <si>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</si>
  <si>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</si>
  <si>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</si>
  <si>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</si>
  <si>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</si>
  <si>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</si>
  <si>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</si>
  <si>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</si>
  <si>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</si>
  <si>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</si>
  <si>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</si>
  <si>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</si>
  <si>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</si>
  <si>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</si>
  <si>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</si>
  <si>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</si>
  <si>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</si>
  <si>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</si>
  <si>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</si>
  <si>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</si>
  <si>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</si>
  <si>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</si>
  <si>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</si>
  <si>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</si>
  <si>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</si>
  <si>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</si>
  <si>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</si>
  <si>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</si>
  <si>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</si>
  <si>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</si>
  <si>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</si>
  <si>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</si>
  <si>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</si>
  <si>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</si>
  <si>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</si>
  <si>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</si>
  <si>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</si>
  <si>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</si>
  <si>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</si>
  <si>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</si>
  <si>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</si>
  <si>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</si>
  <si>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</si>
  <si>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</si>
  <si>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</si>
  <si>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</si>
  <si>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</si>
  <si>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</si>
  <si>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</si>
  <si>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</si>
  <si>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</si>
  <si>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</si>
  <si>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</si>
  <si>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</si>
  <si>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</si>
  <si>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</si>
  <si>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</si>
  <si>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</si>
  <si>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</si>
  <si>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</si>
  <si>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</si>
  <si>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</si>
  <si>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</si>
  <si>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</si>
  <si>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</si>
  <si>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</si>
  <si>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</si>
  <si>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</si>
  <si>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</si>
  <si>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</si>
  <si>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</si>
  <si>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</si>
  <si>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</si>
  <si>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</si>
  <si>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</si>
  <si>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</si>
  <si>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</si>
  <si>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</si>
  <si>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</si>
  <si>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</si>
  <si>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</si>
  <si>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</si>
  <si>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</si>
  <si>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</si>
  <si>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</si>
  <si>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</si>
  <si>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</si>
  <si>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</si>
  <si>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</si>
  <si>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</si>
  <si>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</si>
  <si>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</si>
  <si>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</si>
  <si>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</si>
  <si>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</si>
  <si>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</si>
  <si>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</si>
  <si>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</si>
  <si>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</si>
  <si>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</si>
  <si>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</si>
  <si>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</si>
  <si>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</si>
  <si>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</si>
  <si>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</si>
  <si>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</si>
  <si>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</si>
  <si>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</si>
  <si>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</si>
  <si>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</si>
  <si>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</si>
  <si>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</si>
  <si>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</si>
  <si>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</si>
  <si>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</si>
  <si>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</si>
  <si>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</si>
  <si>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</si>
  <si>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</si>
  <si>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</si>
  <si>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</si>
  <si>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</si>
  <si>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</si>
  <si>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</si>
  <si>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</si>
  <si>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</si>
  <si>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</si>
  <si>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</si>
  <si>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</si>
  <si>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</si>
  <si>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</si>
  <si>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</si>
  <si>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</si>
  <si>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</si>
  <si>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</si>
  <si>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</si>
  <si>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</si>
  <si>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</si>
  <si>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</si>
  <si>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</si>
  <si>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</si>
  <si>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</si>
  <si>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</si>
  <si>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</si>
  <si>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</si>
  <si>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</si>
  <si>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</si>
  <si>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</si>
  <si>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</si>
  <si>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</si>
  <si>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</si>
  <si>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</si>
  <si>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</si>
  <si>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</si>
  <si>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</si>
  <si>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</si>
  <si>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</si>
  <si>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</si>
  <si>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</si>
  <si>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</si>
  <si>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</si>
  <si>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</si>
  <si>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</si>
  <si>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</si>
  <si>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</si>
  <si>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</si>
  <si>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</si>
  <si>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</si>
  <si>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</si>
  <si>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</si>
  <si>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</si>
  <si>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</si>
  <si>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</si>
  <si>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</si>
  <si>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</si>
  <si>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</si>
  <si>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</si>
  <si>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</si>
  <si>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</si>
  <si>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</si>
  <si>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</si>
  <si>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</si>
  <si>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</si>
  <si>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</si>
  <si>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</si>
  <si>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</si>
  <si>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</si>
  <si>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</si>
  <si>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</si>
  <si>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</si>
  <si>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</si>
  <si>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</si>
  <si>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</si>
  <si>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</si>
  <si>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</si>
  <si>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</si>
  <si>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</si>
  <si>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</si>
  <si>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</si>
  <si>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</si>
  <si>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</si>
  <si>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</si>
  <si>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</si>
  <si>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</si>
  <si>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</si>
  <si>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</si>
  <si>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</si>
  <si>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</si>
  <si>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</si>
  <si>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</si>
  <si>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</si>
  <si>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</si>
  <si>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</si>
  <si>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</si>
  <si>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</si>
  <si>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</si>
  <si>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</si>
  <si>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</si>
  <si>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</si>
  <si>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</si>
  <si>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</si>
  <si>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</si>
  <si>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</si>
  <si>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</si>
  <si>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</si>
  <si>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</si>
  <si>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</si>
  <si>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</si>
  <si>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</si>
  <si>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</si>
  <si>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</si>
  <si>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</si>
  <si>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</si>
  <si>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</si>
  <si>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</si>
  <si>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</si>
  <si>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</si>
  <si>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</si>
  <si>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</si>
  <si>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</si>
  <si>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</si>
  <si>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</si>
  <si>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</si>
  <si>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</si>
  <si>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</si>
  <si>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</si>
  <si>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</si>
  <si>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</si>
  <si>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</si>
  <si>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</si>
  <si>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</si>
  <si>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</si>
  <si>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</si>
  <si>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</si>
  <si>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</si>
  <si>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</si>
  <si>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</si>
  <si>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</si>
  <si>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</si>
  <si>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</si>
  <si>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</si>
  <si>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</si>
  <si>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</si>
  <si>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</si>
  <si>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</si>
  <si>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</si>
  <si>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</si>
  <si>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</si>
  <si>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</si>
  <si>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</si>
  <si>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</si>
  <si>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</si>
  <si>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</si>
  <si>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</si>
  <si>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</si>
  <si>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</si>
  <si>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</si>
  <si>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</si>
  <si>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</si>
  <si>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</si>
  <si>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</si>
  <si>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</si>
  <si>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</si>
  <si>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</si>
  <si>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</si>
  <si>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</si>
  <si>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</si>
  <si>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</si>
  <si>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</si>
  <si>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</si>
  <si>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</si>
  <si>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</si>
  <si>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</si>
  <si>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</si>
  <si>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</si>
  <si>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</si>
  <si>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</si>
  <si>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</si>
  <si>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</si>
  <si>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</si>
  <si>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</si>
  <si>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</si>
  <si>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</si>
  <si>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</si>
  <si>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</si>
  <si>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</si>
  <si>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</si>
  <si>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</si>
  <si>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</si>
  <si>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</si>
  <si>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</si>
  <si>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</si>
  <si>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</si>
  <si>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</si>
  <si>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</si>
  <si>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</si>
  <si>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</si>
  <si>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</si>
  <si>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</si>
  <si>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</si>
  <si>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</si>
  <si>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</si>
  <si>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</si>
  <si>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</si>
  <si>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</si>
  <si>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</si>
  <si>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</si>
  <si>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</si>
  <si>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</si>
  <si>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</si>
  <si>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</si>
  <si>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</si>
  <si>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</si>
  <si>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</si>
  <si>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</si>
  <si>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</si>
  <si>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</si>
  <si>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</si>
  <si>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</si>
  <si>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</si>
  <si>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</si>
  <si>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</si>
  <si>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</si>
  <si>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</si>
  <si>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</si>
  <si>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</si>
  <si>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</si>
  <si>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</si>
  <si>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</si>
  <si>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</si>
  <si>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</si>
  <si>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</si>
  <si>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</si>
  <si>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</si>
  <si>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</si>
  <si>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</si>
  <si>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</si>
  <si>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</si>
  <si>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</si>
  <si>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</si>
  <si>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</si>
  <si>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</si>
  <si>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</si>
  <si>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</si>
  <si>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</si>
  <si>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</si>
  <si>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</si>
  <si>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</si>
  <si>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</si>
  <si>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</si>
  <si>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</si>
  <si>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</si>
  <si>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</si>
  <si>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</si>
  <si>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</si>
  <si>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</si>
  <si>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</si>
  <si>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</si>
  <si>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</si>
  <si>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</si>
  <si>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</si>
  <si>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</si>
  <si>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</si>
  <si>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</si>
  <si>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</si>
  <si>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</si>
  <si>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</si>
  <si>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</si>
  <si>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</si>
  <si>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</si>
  <si>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</si>
  <si>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</si>
  <si>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</si>
  <si>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</si>
  <si>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</si>
  <si>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</si>
  <si>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</si>
  <si>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</si>
  <si>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</si>
  <si>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</si>
  <si>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</si>
  <si>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</si>
  <si>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</si>
  <si>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</si>
  <si>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</si>
  <si>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</si>
  <si>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</si>
  <si>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</si>
  <si>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</si>
  <si>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</si>
  <si>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</si>
  <si>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</si>
  <si>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</si>
  <si>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</si>
  <si>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</si>
  <si>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</si>
  <si>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</si>
  <si>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</si>
  <si>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</si>
  <si>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</si>
  <si>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</si>
  <si>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</si>
  <si>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</si>
  <si>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</si>
  <si>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</si>
  <si>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</si>
  <si>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</si>
  <si>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</si>
  <si>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</si>
  <si>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</si>
  <si>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</si>
  <si>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</si>
  <si>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</si>
  <si>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</si>
  <si>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</si>
  <si>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</si>
  <si>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</si>
  <si>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</si>
  <si>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</si>
  <si>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</si>
  <si>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</si>
  <si>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</si>
  <si>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</si>
  <si>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</si>
  <si>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</si>
  <si>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</si>
  <si>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</si>
  <si>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</si>
  <si>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</si>
  <si>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</si>
  <si>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</si>
  <si>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</si>
  <si>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</si>
  <si>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</si>
  <si>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</si>
  <si>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</si>
  <si>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</si>
  <si>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</si>
  <si>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</si>
  <si>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</si>
  <si>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</si>
  <si>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</si>
  <si>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</si>
  <si>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</si>
  <si>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</si>
  <si>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</si>
  <si>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</si>
  <si>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</si>
  <si>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</si>
  <si>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</si>
  <si>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</si>
  <si>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</si>
  <si>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</si>
  <si>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</si>
  <si>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</si>
  <si>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</si>
  <si>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</si>
  <si>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</si>
  <si>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</si>
  <si>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</si>
  <si>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</si>
  <si>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</si>
  <si>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</si>
  <si>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</si>
  <si>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</si>
  <si>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</si>
  <si>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</si>
  <si>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</si>
  <si>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</si>
  <si>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</si>
  <si>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</si>
  <si>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</si>
  <si>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</si>
  <si>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</si>
  <si>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</si>
  <si>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</si>
  <si>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</si>
  <si>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</si>
  <si>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</si>
  <si>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</si>
  <si>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</si>
  <si>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</si>
  <si>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</si>
  <si>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</si>
  <si>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</si>
  <si>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</si>
  <si>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</si>
  <si>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</si>
  <si>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</si>
  <si>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</si>
  <si>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</si>
  <si>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</si>
  <si>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</si>
  <si>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</si>
  <si>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</si>
  <si>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</si>
  <si>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</si>
  <si>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</si>
  <si>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</si>
  <si>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</si>
  <si>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</si>
  <si>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</si>
  <si>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</si>
  <si>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</si>
  <si>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</si>
  <si>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</si>
  <si>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</si>
  <si>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</si>
  <si>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</si>
  <si>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</si>
  <si>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</si>
  <si>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</si>
  <si>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</si>
  <si>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</si>
  <si>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</si>
  <si>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</si>
  <si>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</si>
  <si>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</si>
  <si>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</si>
  <si>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</si>
  <si>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</si>
  <si>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</si>
  <si>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</si>
  <si>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</si>
  <si>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</si>
  <si>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</si>
  <si>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</si>
  <si>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</si>
  <si>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</si>
  <si>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</si>
  <si>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</si>
  <si>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</si>
  <si>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</si>
  <si>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</si>
  <si>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</si>
  <si>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</si>
  <si>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</si>
  <si>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</si>
  <si>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</si>
  <si>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</si>
  <si>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</si>
  <si>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</si>
  <si>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</si>
  <si>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</si>
  <si>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</si>
  <si>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</si>
  <si>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</si>
  <si>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</si>
  <si>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</si>
  <si>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</si>
  <si>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</si>
  <si>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</si>
  <si>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</si>
  <si>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</si>
  <si>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</si>
  <si>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</si>
  <si>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</si>
  <si>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</si>
  <si>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</si>
  <si>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</si>
  <si>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</si>
  <si>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</si>
  <si>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</si>
  <si>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</si>
  <si>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</si>
  <si>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</si>
  <si>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</si>
  <si>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</si>
  <si>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</si>
  <si>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</si>
  <si>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</si>
  <si>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</si>
  <si>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</si>
  <si>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</si>
  <si>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</si>
  <si>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</si>
  <si>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</si>
  <si>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</si>
  <si>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</si>
  <si>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</si>
  <si>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</si>
  <si>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</si>
  <si>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</si>
  <si>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</si>
  <si>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</si>
  <si>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</si>
  <si>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</si>
  <si>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</si>
  <si>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</si>
  <si>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</si>
  <si>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</si>
  <si>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</si>
  <si>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</si>
  <si>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</si>
  <si>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</si>
  <si>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</si>
  <si>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</si>
  <si>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</si>
  <si>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</si>
  <si>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</si>
  <si>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</si>
  <si>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</si>
  <si>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</si>
  <si>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</si>
  <si>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</si>
  <si>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</si>
  <si>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</si>
  <si>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</si>
  <si>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</si>
  <si>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</si>
  <si>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</si>
  <si>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</si>
  <si>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</si>
  <si>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</si>
  <si>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</si>
  <si>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</si>
  <si>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</si>
  <si>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</si>
  <si>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</si>
  <si>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</si>
  <si>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</si>
  <si>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</si>
  <si>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</si>
  <si>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</si>
  <si>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</si>
  <si>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</si>
  <si>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</si>
  <si>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</si>
  <si>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</si>
  <si>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</si>
  <si>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</si>
  <si>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</si>
  <si>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</si>
  <si>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</si>
  <si>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</si>
  <si>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</si>
  <si>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</si>
  <si>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</si>
  <si>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</si>
  <si>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</si>
  <si>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</si>
  <si>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</si>
  <si>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</si>
  <si>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</si>
  <si>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</si>
  <si>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</si>
  <si>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</si>
  <si>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</si>
  <si>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</si>
  <si>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</si>
  <si>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</si>
  <si>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</si>
  <si>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</si>
  <si>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</si>
  <si>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</si>
  <si>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</si>
  <si>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</si>
  <si>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</si>
  <si>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</si>
  <si>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</si>
  <si>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</si>
  <si>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</si>
  <si>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</si>
  <si>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</si>
  <si>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</si>
  <si>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</si>
  <si>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</si>
  <si>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</si>
  <si>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</si>
  <si>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</si>
  <si>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</si>
  <si>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</si>
  <si>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</si>
  <si>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</si>
  <si>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</si>
  <si>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</si>
  <si>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</si>
  <si>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</si>
  <si>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</si>
  <si>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</si>
  <si>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</si>
  <si>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</si>
  <si>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</si>
  <si>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</si>
  <si>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</si>
  <si>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</si>
  <si>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</si>
  <si>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</si>
  <si>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</si>
  <si>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</si>
  <si>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</si>
  <si>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</si>
  <si>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</si>
  <si>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</si>
  <si>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</si>
  <si>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</si>
  <si>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</si>
  <si>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</si>
  <si>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</si>
  <si>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</si>
  <si>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</si>
  <si>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</si>
  <si>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</si>
  <si>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</si>
  <si>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</si>
  <si>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</si>
  <si>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</si>
  <si>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</si>
  <si>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</si>
  <si>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</si>
  <si>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</si>
  <si>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</si>
  <si>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</si>
  <si>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</si>
  <si>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</si>
  <si>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</si>
  <si>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</si>
  <si>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</si>
  <si>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</si>
  <si>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</si>
  <si>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</si>
  <si>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</si>
  <si>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</si>
  <si>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</si>
  <si>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</si>
  <si>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</si>
  <si>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</si>
  <si>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</si>
  <si>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</si>
  <si>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</si>
  <si>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</si>
  <si>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</si>
  <si>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</si>
  <si>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</si>
  <si>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</si>
  <si>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</si>
  <si>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</si>
  <si>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</si>
  <si>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</si>
  <si>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</si>
  <si>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</si>
  <si>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</si>
  <si>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</si>
  <si>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</si>
  <si>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</si>
  <si>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</si>
  <si>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</si>
  <si>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</si>
  <si>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</si>
  <si>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</si>
  <si>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</si>
  <si>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</si>
  <si>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</si>
  <si>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</si>
  <si>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</si>
  <si>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</si>
  <si>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</si>
  <si>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</si>
  <si>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</si>
  <si>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</si>
  <si>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</si>
  <si>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</si>
  <si>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</si>
  <si>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</si>
  <si>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</si>
  <si>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</si>
  <si>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</si>
  <si>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</si>
  <si>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</si>
  <si>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</si>
  <si>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</si>
  <si>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</si>
  <si>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</si>
  <si>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</si>
  <si>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</si>
  <si>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</si>
  <si>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</si>
  <si>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</si>
  <si>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</si>
  <si>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</si>
  <si>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</si>
  <si>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</si>
  <si>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</si>
  <si>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</si>
  <si>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</si>
  <si>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</si>
  <si>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</si>
  <si>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</si>
  <si>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</si>
  <si>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</si>
  <si>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</si>
  <si>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</si>
  <si>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</si>
  <si>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</si>
  <si>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</si>
  <si>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</si>
  <si>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</si>
  <si>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</si>
  <si>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</si>
  <si>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</si>
  <si>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</si>
  <si>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</si>
  <si>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</si>
  <si>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</si>
  <si>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</si>
  <si>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</si>
  <si>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</si>
  <si>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</si>
  <si>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</si>
  <si>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</si>
  <si>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</si>
  <si>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</si>
  <si>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</si>
  <si>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</si>
  <si>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</si>
  <si>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</si>
  <si>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</si>
  <si>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</si>
  <si>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</si>
  <si>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</si>
  <si>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</si>
  <si>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</si>
  <si>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</si>
  <si>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</si>
  <si>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</si>
  <si>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</si>
  <si>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</si>
  <si>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</si>
  <si>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</si>
  <si>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</si>
  <si>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</si>
  <si>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</si>
  <si>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</si>
  <si>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</si>
  <si>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</si>
  <si>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</si>
  <si>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</si>
  <si>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</si>
  <si>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</si>
  <si>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</si>
  <si>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</si>
  <si>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</si>
  <si>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</si>
  <si>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</si>
  <si>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</si>
  <si>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</si>
  <si>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</si>
  <si>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</si>
  <si>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</si>
  <si>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</si>
  <si>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</si>
  <si>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</si>
  <si>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</si>
  <si>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</si>
  <si>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</si>
  <si>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</si>
  <si>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</si>
  <si>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</si>
  <si>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</si>
  <si>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</si>
  <si>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</si>
  <si>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</si>
  <si>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</si>
  <si>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</si>
  <si>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</si>
  <si>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</si>
  <si>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</si>
  <si>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</si>
  <si>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</si>
  <si>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</si>
  <si>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</si>
  <si>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</si>
  <si>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</si>
  <si>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</si>
  <si>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</si>
  <si>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</si>
  <si>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</si>
  <si>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</si>
  <si>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</si>
  <si>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</si>
  <si>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</si>
  <si>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</si>
  <si>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</si>
  <si>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</si>
  <si>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</si>
  <si>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</si>
  <si>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</si>
  <si>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</si>
  <si>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</si>
  <si>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</si>
  <si>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</si>
  <si>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</si>
  <si>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</si>
  <si>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</si>
  <si>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</si>
  <si>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</si>
  <si>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</si>
  <si>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</si>
  <si>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</si>
  <si>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</si>
  <si>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</si>
  <si>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</si>
  <si>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</si>
  <si>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</si>
  <si>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</si>
  <si>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</si>
  <si>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</si>
  <si>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</si>
  <si>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</si>
  <si>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</si>
  <si>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</si>
  <si>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</si>
  <si>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</si>
  <si>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</si>
  <si>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</si>
  <si>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</si>
  <si>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</si>
  <si>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</si>
  <si>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</si>
  <si>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</si>
  <si>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</si>
  <si>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</si>
  <si>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</si>
  <si>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</si>
  <si>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</si>
  <si>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</si>
  <si>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</si>
  <si>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</si>
  <si>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</si>
  <si>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</si>
  <si>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</si>
  <si>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</si>
  <si>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</si>
  <si>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</si>
  <si>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</si>
  <si>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</si>
  <si>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</si>
  <si>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</si>
  <si>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</si>
  <si>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</si>
  <si>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</si>
  <si>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</si>
  <si>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</si>
  <si>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</si>
  <si>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</si>
  <si>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</si>
  <si>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</si>
  <si>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</si>
  <si>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</si>
  <si>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</si>
  <si>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</si>
  <si>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</si>
  <si>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</si>
  <si>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</si>
  <si>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</si>
  <si>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</si>
  <si>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</si>
  <si>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</si>
  <si>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</si>
  <si>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</si>
  <si>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</si>
  <si>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</si>
  <si>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</si>
  <si>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</si>
  <si>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</si>
  <si>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</si>
  <si>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</si>
  <si>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</si>
  <si>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</si>
  <si>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</si>
  <si>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</si>
  <si>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</si>
  <si>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</si>
  <si>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</si>
  <si>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</si>
  <si>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</si>
  <si>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</si>
  <si>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</si>
  <si>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</si>
  <si>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</si>
  <si>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</si>
  <si>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</si>
  <si>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</si>
  <si>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</si>
  <si>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</si>
  <si>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</si>
  <si>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</si>
  <si>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</si>
  <si>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</si>
  <si>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</si>
  <si>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</si>
  <si>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</si>
  <si>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</si>
  <si>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</si>
  <si>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</si>
  <si>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</si>
  <si>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</si>
  <si>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</si>
  <si>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</si>
  <si>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</si>
  <si>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</si>
  <si>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</si>
  <si>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</si>
  <si>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</si>
  <si>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</si>
  <si>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</si>
  <si>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</si>
  <si>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</si>
  <si>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</si>
  <si>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</si>
  <si>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</si>
  <si>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</si>
  <si>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</si>
  <si>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</si>
  <si>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</si>
  <si>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</si>
  <si>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</si>
  <si>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</si>
  <si>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</si>
  <si>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</si>
  <si>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</si>
  <si>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</si>
  <si>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</si>
  <si>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</si>
  <si>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</si>
  <si>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</si>
  <si>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</si>
  <si>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</si>
  <si>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</si>
  <si>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</si>
  <si>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</si>
  <si>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</si>
  <si>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</si>
  <si>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</si>
  <si>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</si>
  <si>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</si>
  <si>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</si>
  <si>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</si>
  <si>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</si>
  <si>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</si>
  <si>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</si>
  <si>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</si>
  <si>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</si>
  <si>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</si>
  <si>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</si>
  <si>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</si>
  <si>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</si>
  <si>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</si>
  <si>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</si>
  <si>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</si>
  <si>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</si>
  <si>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</si>
  <si>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</si>
  <si>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</si>
  <si>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</si>
  <si>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</si>
  <si>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</si>
  <si>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</si>
  <si>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</si>
  <si>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</si>
  <si>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</si>
  <si>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</si>
  <si>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</si>
  <si>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</si>
  <si>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</si>
  <si>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</si>
  <si>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</si>
  <si>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</si>
  <si>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</si>
  <si>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</si>
  <si>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</si>
  <si>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</si>
  <si>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</si>
  <si>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</si>
  <si>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</si>
  <si>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</si>
  <si>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</si>
  <si>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</si>
  <si>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</si>
  <si>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</si>
  <si>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</si>
  <si>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</si>
  <si>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</si>
  <si>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</si>
  <si>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</si>
  <si>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</si>
  <si>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</si>
  <si>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</si>
  <si>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</si>
  <si>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</si>
  <si>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</si>
  <si>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</si>
  <si>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</si>
  <si>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</si>
  <si>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</si>
  <si>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</si>
  <si>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</si>
  <si>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</si>
  <si>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</si>
  <si>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</si>
  <si>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</si>
  <si>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</si>
  <si>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</si>
  <si>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</si>
  <si>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</si>
  <si>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</si>
  <si>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</si>
  <si>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</si>
  <si>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</si>
  <si>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</si>
  <si>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</si>
  <si>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</si>
  <si>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</si>
  <si>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</si>
  <si>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</si>
  <si>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</si>
  <si>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</si>
  <si>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</si>
  <si>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</si>
  <si>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</si>
  <si>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</si>
  <si>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</si>
  <si>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</si>
  <si>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</si>
  <si>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</si>
  <si>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</si>
  <si>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</si>
  <si>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</si>
  <si>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</si>
  <si>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</si>
  <si>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</si>
  <si>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</si>
  <si>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</si>
  <si>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</si>
  <si>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</si>
  <si>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</si>
  <si>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</si>
  <si>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</si>
  <si>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</si>
  <si>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</si>
  <si>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</si>
  <si>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</si>
  <si>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</si>
  <si>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</si>
  <si>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</si>
  <si>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</si>
  <si>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</si>
  <si>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</si>
  <si>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</si>
  <si>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</si>
  <si>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</si>
  <si>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</si>
  <si>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</si>
  <si>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</si>
  <si>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</si>
  <si>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</si>
  <si>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</si>
  <si>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</si>
  <si>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</si>
  <si>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</si>
  <si>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</si>
  <si>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</si>
  <si>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</si>
  <si>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</si>
  <si>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</si>
  <si>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</si>
  <si>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</si>
  <si>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</si>
  <si>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</si>
  <si>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</si>
  <si>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</si>
  <si>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</si>
  <si>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</si>
  <si>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</si>
  <si>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</si>
  <si>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</si>
  <si>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</si>
  <si>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</si>
  <si>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</si>
  <si>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</si>
  <si>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</si>
  <si>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</si>
  <si>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</si>
  <si>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</si>
  <si>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</si>
  <si>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</si>
  <si>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</si>
  <si>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</si>
  <si>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</si>
  <si>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</si>
  <si>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</si>
  <si>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</si>
  <si>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</si>
  <si>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</si>
  <si>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</si>
  <si>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</si>
  <si>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</si>
  <si>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</si>
  <si>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</si>
  <si>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</si>
  <si>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</si>
  <si>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</si>
  <si>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</si>
  <si>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</si>
  <si>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</si>
  <si>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</si>
  <si>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</si>
  <si>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</si>
  <si>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</si>
  <si>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</si>
  <si>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</si>
  <si>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</si>
  <si>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</si>
  <si>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</si>
  <si>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</si>
  <si>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</si>
  <si>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</si>
  <si>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</si>
  <si>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</si>
  <si>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</si>
  <si>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</si>
  <si>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</si>
  <si>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</si>
  <si>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</si>
  <si>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</si>
  <si>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</si>
  <si>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</si>
  <si>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</si>
  <si>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</si>
  <si>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</si>
  <si>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</si>
  <si>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</si>
  <si>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</si>
  <si>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</si>
  <si>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</si>
  <si>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</si>
  <si>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</si>
  <si>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</si>
  <si>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</si>
  <si>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</si>
  <si>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</si>
  <si>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</si>
  <si>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</si>
  <si>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</si>
  <si>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</si>
  <si>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</si>
  <si>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</si>
  <si>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</si>
  <si>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</si>
  <si>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</si>
  <si>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</si>
  <si>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</si>
  <si>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</si>
  <si>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</si>
  <si>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</si>
  <si>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</si>
  <si>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</si>
  <si>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</si>
  <si>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</si>
  <si>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</si>
  <si>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</si>
  <si>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</si>
  <si>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</si>
  <si>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</si>
  <si>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</si>
  <si>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</si>
  <si>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</si>
  <si>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</si>
  <si>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</si>
  <si>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</si>
  <si>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</si>
  <si>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</si>
  <si>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</si>
  <si>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</si>
  <si>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</si>
  <si>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</si>
  <si>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</si>
  <si>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</si>
  <si>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</si>
  <si>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</si>
  <si>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</si>
  <si>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</si>
  <si>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</si>
  <si>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</si>
  <si>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</si>
  <si>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</si>
  <si>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</si>
  <si>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</si>
  <si>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</si>
  <si>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</si>
  <si>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</si>
  <si>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</si>
  <si>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</si>
  <si>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</si>
  <si>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</si>
  <si>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</si>
  <si>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</si>
  <si>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</si>
  <si>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</si>
  <si>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</si>
  <si>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</si>
  <si>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</si>
  <si>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</si>
  <si>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</si>
  <si>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</si>
  <si>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</si>
  <si>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</si>
  <si>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</si>
  <si>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</si>
  <si>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</si>
  <si>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</si>
  <si>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</si>
  <si>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</si>
  <si>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</si>
  <si>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</si>
  <si>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</si>
  <si>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</si>
  <si>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</si>
  <si>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</si>
  <si>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</si>
  <si>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</si>
  <si>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</si>
  <si>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</si>
  <si>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</si>
  <si>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</si>
  <si>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</si>
  <si>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</si>
  <si>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</si>
  <si>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</si>
  <si>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</si>
  <si>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</si>
  <si>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</si>
  <si>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</si>
  <si>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</si>
  <si>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</si>
  <si>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</si>
  <si>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</si>
  <si>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</si>
  <si>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</si>
  <si>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</si>
  <si>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</si>
  <si>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</si>
  <si>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</si>
  <si>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</si>
  <si>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</si>
  <si>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</si>
  <si>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</si>
  <si>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</si>
  <si>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</si>
  <si>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</si>
  <si>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</si>
  <si>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</si>
  <si>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</si>
  <si>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</si>
  <si>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</si>
  <si>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</si>
  <si>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</si>
  <si>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</si>
  <si>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</si>
  <si>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</si>
  <si>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</si>
  <si>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</si>
  <si>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</si>
  <si>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</si>
  <si>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</si>
  <si>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</si>
  <si>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</si>
  <si>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</si>
  <si>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</si>
  <si>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</si>
  <si>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</si>
  <si>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</si>
  <si>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</si>
  <si>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</si>
  <si>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</si>
  <si>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</si>
  <si>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</si>
  <si>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</si>
  <si>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</si>
  <si>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</si>
  <si>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</si>
  <si>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</si>
  <si>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</si>
  <si>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</si>
  <si>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</si>
  <si>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</si>
  <si>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</si>
  <si>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</si>
  <si>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</si>
  <si>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</si>
  <si>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</si>
  <si>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</si>
  <si>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</si>
  <si>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</si>
  <si>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</si>
  <si>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</si>
  <si>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</si>
  <si>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</si>
  <si>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</si>
  <si>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</si>
  <si>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</si>
  <si>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</si>
  <si>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</si>
  <si>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</si>
  <si>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</si>
  <si>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</si>
  <si>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</si>
  <si>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</si>
  <si>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</si>
  <si>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</si>
  <si>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</si>
  <si>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</si>
  <si>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</si>
  <si>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</si>
  <si>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</si>
  <si>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</si>
  <si>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</si>
  <si>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</si>
  <si>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</si>
  <si>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</si>
  <si>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</si>
  <si>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</si>
  <si>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</si>
  <si>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</si>
  <si>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</si>
  <si>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</si>
  <si>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</si>
  <si>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</si>
  <si>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</si>
  <si>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</si>
  <si>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</si>
  <si>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</si>
  <si>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</si>
  <si>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</si>
  <si>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</si>
  <si>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</si>
  <si>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</si>
  <si>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</si>
  <si>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</si>
  <si>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</si>
  <si>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</si>
  <si>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</si>
  <si>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</si>
  <si>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</si>
  <si>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</si>
  <si>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</si>
  <si>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</si>
  <si>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</si>
  <si>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</si>
  <si>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</si>
  <si>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</si>
  <si>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</si>
  <si>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</si>
  <si>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</si>
  <si>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</si>
  <si>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</si>
  <si>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</si>
  <si>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</si>
  <si>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</si>
  <si>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</si>
  <si>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</si>
  <si>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</si>
  <si>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</si>
  <si>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</si>
  <si>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</si>
  <si>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</si>
  <si>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</si>
  <si>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</si>
  <si>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</si>
  <si>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</si>
  <si>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</si>
  <si>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</si>
  <si>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</si>
  <si>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</si>
  <si>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</si>
  <si>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</si>
  <si>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</si>
  <si>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</si>
  <si>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</si>
  <si>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</si>
  <si>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</si>
  <si>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</si>
  <si>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</si>
  <si>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</si>
  <si>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</si>
  <si>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</si>
  <si>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</si>
  <si>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</si>
  <si>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</si>
  <si>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</si>
  <si>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</si>
  <si>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</si>
  <si>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</si>
  <si>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</si>
  <si>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</si>
  <si>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</si>
  <si>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</si>
  <si>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</si>
  <si>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</si>
  <si>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</si>
  <si>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</si>
  <si>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</si>
  <si>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</si>
  <si>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</si>
  <si>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</si>
  <si>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</si>
  <si>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</si>
  <si>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</si>
  <si>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</si>
  <si>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</si>
  <si>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</si>
  <si>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</si>
  <si>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</si>
  <si>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</si>
  <si>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</si>
  <si>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</si>
  <si>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</si>
  <si>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</si>
  <si>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</si>
  <si>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</si>
  <si>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</si>
  <si>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</si>
  <si>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</si>
  <si>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</si>
  <si>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</si>
  <si>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</si>
  <si>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</si>
  <si>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</si>
  <si>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</si>
  <si>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</si>
  <si>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</si>
  <si>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</si>
  <si>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</si>
  <si>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</si>
  <si>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</si>
  <si>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</si>
  <si>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</si>
  <si>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</si>
  <si>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</si>
  <si>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</si>
  <si>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</si>
  <si>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</si>
  <si>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</si>
  <si>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</si>
  <si>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</si>
  <si>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</si>
  <si>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</si>
  <si>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</si>
  <si>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</si>
  <si>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</si>
  <si>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</si>
  <si>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</si>
  <si>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</si>
  <si>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</si>
  <si>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</si>
  <si>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</si>
  <si>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</si>
  <si>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</si>
  <si>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</si>
  <si>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</si>
  <si>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</si>
  <si>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</si>
  <si>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</si>
  <si>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</si>
  <si>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</si>
  <si>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</si>
  <si>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</si>
  <si>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</si>
  <si>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</si>
  <si>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</si>
  <si>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</si>
  <si>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</si>
  <si>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</si>
  <si>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</si>
  <si>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</si>
  <si>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</si>
  <si>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</si>
  <si>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</si>
  <si>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</si>
  <si>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</si>
  <si>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</si>
  <si>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</si>
  <si>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</si>
  <si>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</si>
  <si>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</si>
  <si>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</si>
  <si>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</si>
  <si>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</si>
  <si>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</si>
  <si>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</si>
  <si>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</si>
  <si>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</si>
  <si>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</si>
  <si>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</si>
  <si>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</si>
  <si>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</si>
  <si>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</si>
  <si>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</si>
  <si>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</si>
  <si>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</si>
  <si>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</si>
  <si>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</si>
  <si>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</si>
  <si>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</si>
  <si>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</si>
  <si>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</si>
  <si>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</si>
  <si>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</si>
  <si>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</si>
  <si>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</si>
  <si>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</si>
  <si>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</si>
  <si>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</si>
  <si>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</si>
  <si>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</si>
  <si>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</si>
  <si>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</si>
  <si>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</si>
  <si>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</si>
  <si>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</si>
  <si>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</si>
  <si>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</si>
  <si>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</si>
  <si>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</si>
  <si>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</si>
  <si>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</si>
  <si>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</si>
  <si>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</si>
  <si>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</si>
  <si>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</si>
  <si>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</si>
  <si>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</si>
  <si>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</si>
  <si>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</si>
  <si>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</si>
  <si>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</si>
  <si>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</si>
  <si>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</si>
  <si>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</si>
  <si>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</si>
  <si>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</si>
  <si>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</si>
  <si>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</si>
  <si>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</si>
  <si>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</si>
  <si>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</si>
  <si>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</si>
  <si>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</si>
  <si>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</si>
  <si>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</si>
  <si>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</si>
  <si>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</si>
  <si>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</si>
  <si>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</si>
  <si>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</si>
  <si>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</si>
  <si>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</si>
  <si>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</si>
  <si>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</si>
  <si>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</si>
  <si>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</si>
  <si>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</si>
  <si>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</si>
  <si>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</si>
  <si>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</si>
  <si>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</si>
  <si>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</si>
  <si>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</si>
  <si>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</si>
  <si>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</si>
  <si>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</si>
  <si>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</si>
  <si>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</si>
  <si>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</si>
  <si>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</si>
  <si>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</si>
  <si>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</si>
  <si>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</si>
  <si>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</si>
  <si>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</si>
  <si>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</si>
  <si>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</si>
  <si>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</si>
  <si>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</si>
  <si>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</si>
  <si>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</si>
  <si>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</si>
  <si>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</si>
  <si>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</si>
  <si>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</si>
  <si>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</si>
  <si>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</si>
  <si>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</si>
  <si>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</si>
  <si>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</si>
  <si>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</si>
  <si>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</si>
  <si>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</si>
  <si>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</si>
  <si>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</si>
  <si>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</si>
  <si>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</si>
  <si>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</si>
  <si>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</si>
  <si>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</si>
  <si>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</si>
  <si>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</si>
  <si>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</si>
  <si>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</si>
  <si>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</si>
  <si>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</si>
  <si>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</si>
  <si>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</si>
  <si>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</si>
  <si>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</si>
  <si>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</si>
  <si>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</si>
  <si>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</si>
  <si>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</si>
  <si>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</si>
  <si>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</si>
  <si>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</si>
  <si>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</si>
  <si>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</si>
  <si>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</si>
  <si>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</si>
  <si>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</si>
  <si>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</si>
  <si>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</si>
  <si>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</si>
  <si>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</si>
  <si>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</si>
  <si>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</si>
  <si>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</si>
  <si>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</si>
  <si>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</si>
  <si>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</si>
  <si>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</si>
  <si>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</si>
  <si>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</si>
  <si>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</si>
  <si>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</si>
  <si>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</si>
  <si>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</si>
  <si>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</si>
  <si>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</si>
  <si>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</si>
  <si>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</si>
  <si>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</si>
  <si>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</si>
  <si>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</si>
  <si>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</si>
  <si>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</si>
  <si>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</si>
  <si>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</si>
  <si>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</si>
  <si>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</si>
  <si>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</si>
  <si>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</si>
  <si>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</si>
  <si>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</si>
  <si>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</si>
  <si>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</si>
  <si>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</si>
  <si>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</si>
  <si>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</si>
  <si>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</si>
  <si>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</si>
  <si>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</si>
  <si>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</si>
  <si>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</si>
  <si>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</si>
  <si>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</si>
  <si>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</si>
  <si>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</si>
  <si>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</si>
  <si>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</si>
  <si>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</si>
  <si>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</si>
  <si>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</si>
  <si>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</si>
  <si>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</si>
  <si>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</si>
  <si>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</si>
  <si>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</si>
  <si>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</si>
  <si>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</si>
  <si>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</si>
  <si>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</si>
  <si>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</si>
  <si>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</si>
  <si>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</si>
  <si>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</si>
  <si>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</si>
  <si>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</si>
  <si>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</si>
  <si>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</si>
  <si>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</si>
  <si>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</si>
  <si>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</si>
  <si>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</si>
  <si>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</si>
  <si>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</si>
  <si>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</si>
  <si>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</si>
  <si>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</si>
  <si>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</si>
  <si>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</si>
  <si>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</si>
  <si>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</si>
  <si>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</si>
  <si>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</si>
  <si>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</si>
  <si>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</si>
  <si>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</si>
  <si>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</si>
  <si>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</si>
  <si>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</si>
  <si>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</si>
  <si>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</si>
  <si>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</si>
  <si>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</si>
  <si>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</si>
  <si>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</si>
  <si>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</si>
  <si>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</si>
  <si>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</si>
  <si>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</si>
  <si>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</si>
  <si>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</si>
  <si>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</si>
  <si>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</si>
  <si>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</si>
  <si>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</si>
  <si>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</si>
  <si>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</si>
  <si>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</si>
  <si>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</si>
  <si>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</si>
  <si>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</si>
  <si>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</si>
  <si>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</si>
  <si>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</si>
  <si>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</si>
  <si>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</si>
  <si>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</si>
  <si>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</si>
  <si>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</si>
  <si>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</si>
  <si>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</si>
  <si>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</si>
  <si>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</si>
  <si>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</si>
  <si>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</si>
  <si>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</si>
  <si>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</si>
  <si>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</si>
  <si>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</si>
  <si>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</si>
  <si>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</si>
  <si>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</si>
  <si>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</si>
  <si>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</si>
  <si>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</si>
  <si>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</si>
  <si>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</si>
  <si>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</si>
  <si>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</si>
  <si>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</si>
  <si>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</si>
  <si>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</si>
  <si>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</si>
  <si>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</si>
  <si>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</si>
  <si>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</si>
  <si>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</si>
  <si>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</si>
  <si>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</si>
  <si>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</si>
  <si>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</si>
  <si>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</si>
  <si>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</si>
  <si>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</si>
  <si>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</si>
  <si>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</si>
  <si>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</si>
  <si>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</si>
  <si>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</si>
  <si>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</si>
  <si>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</si>
  <si>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</si>
  <si>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</si>
  <si>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</si>
  <si>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</si>
  <si>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</si>
  <si>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</si>
  <si>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</si>
  <si>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</si>
  <si>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</si>
  <si>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</si>
  <si>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</si>
  <si>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</si>
  <si>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</si>
  <si>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</si>
  <si>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</si>
  <si>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</si>
  <si>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</si>
  <si>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</si>
  <si>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</si>
  <si>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</si>
  <si>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</si>
  <si>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</si>
  <si>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</si>
  <si>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</si>
  <si>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</si>
  <si>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</si>
  <si>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</si>
  <si>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</si>
  <si>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</si>
  <si>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</si>
  <si>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</si>
  <si>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</si>
  <si>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</si>
  <si>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</si>
  <si>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</si>
  <si>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</si>
  <si>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</si>
  <si>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</si>
  <si>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</si>
  <si>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</si>
  <si>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</si>
  <si>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</si>
  <si>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</si>
  <si>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</si>
  <si>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</si>
  <si>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</si>
  <si>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</si>
  <si>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</si>
  <si>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</si>
  <si>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</si>
  <si>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</si>
  <si>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</si>
  <si>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</si>
  <si>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</si>
  <si>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</si>
  <si>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</si>
  <si>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</si>
  <si>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</si>
  <si>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</si>
  <si>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</si>
  <si>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</si>
  <si>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</si>
  <si>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</si>
  <si>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</si>
  <si>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</si>
  <si>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</si>
  <si>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</si>
  <si>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</si>
  <si>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</si>
  <si>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</si>
  <si>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</si>
  <si>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</si>
  <si>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</si>
  <si>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</si>
  <si>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</si>
  <si>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</si>
  <si>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</si>
  <si>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</si>
  <si>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</si>
  <si>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</si>
  <si>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</si>
  <si>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</si>
  <si>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</si>
  <si>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</si>
  <si>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</si>
  <si>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</si>
  <si>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</si>
  <si>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</si>
  <si>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</si>
  <si>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</si>
  <si>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</si>
  <si>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</si>
  <si>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</si>
  <si>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</si>
  <si>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</si>
  <si>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</si>
  <si>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</si>
  <si>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</si>
  <si>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</si>
  <si>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</si>
  <si>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</si>
  <si>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</si>
  <si>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</si>
  <si>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</si>
  <si>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</si>
  <si>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</si>
  <si>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</si>
  <si>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</si>
  <si>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</si>
  <si>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</si>
  <si>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</si>
  <si>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</si>
  <si>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</si>
  <si>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</si>
  <si>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</si>
  <si>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</si>
  <si>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</si>
  <si>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</si>
  <si>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</si>
  <si>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</si>
  <si>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</si>
  <si>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</si>
  <si>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</si>
  <si>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</si>
  <si>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</si>
  <si>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</si>
  <si>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</si>
  <si>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</si>
  <si>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</si>
  <si>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</si>
  <si>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</si>
  <si>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</si>
  <si>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</si>
  <si>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</si>
  <si>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</si>
  <si>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</si>
  <si>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</si>
  <si>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</si>
  <si>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</si>
  <si>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</si>
  <si>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</si>
  <si>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</si>
  <si>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</si>
  <si>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</si>
  <si>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</si>
  <si>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</si>
  <si>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</si>
  <si>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</si>
  <si>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</si>
  <si>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</si>
  <si>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</si>
  <si>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</si>
  <si>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</si>
  <si>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</si>
  <si>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</si>
  <si>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</si>
  <si>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</si>
  <si>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</si>
  <si>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</si>
  <si>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</si>
  <si>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</si>
  <si>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</si>
  <si>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</si>
  <si>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</si>
  <si>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</si>
  <si>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</si>
  <si>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</si>
  <si>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</si>
  <si>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</si>
  <si>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</si>
  <si>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</si>
  <si>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</si>
  <si>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</si>
  <si>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</si>
  <si>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</si>
  <si>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</si>
  <si>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</si>
  <si>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</si>
  <si>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</si>
  <si>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</si>
  <si>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</si>
  <si>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</si>
  <si>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</si>
  <si>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</si>
  <si>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</si>
  <si>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</si>
  <si>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</si>
  <si>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</si>
  <si>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</si>
  <si>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</si>
  <si>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</si>
  <si>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</si>
  <si>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</si>
  <si>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</si>
  <si>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</si>
  <si>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</si>
  <si>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</si>
  <si>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</si>
  <si>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</si>
  <si>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</si>
  <si>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</si>
  <si>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</si>
  <si>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</si>
  <si>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</si>
  <si>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</si>
  <si>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</si>
  <si>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</si>
  <si>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</si>
  <si>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</si>
  <si>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</si>
  <si>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</si>
  <si>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</si>
  <si>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</si>
  <si>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</si>
  <si>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</si>
  <si>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</si>
  <si>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</si>
  <si>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</si>
  <si>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</si>
  <si>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</si>
  <si>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</si>
  <si>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</si>
  <si>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</si>
  <si>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</si>
  <si>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</si>
  <si>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</si>
  <si>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</si>
  <si>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</si>
  <si>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</si>
  <si>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</si>
  <si>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</si>
  <si>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</si>
  <si>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</si>
  <si>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</si>
  <si>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</si>
  <si>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</si>
  <si>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</si>
  <si>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</si>
  <si>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</si>
  <si>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</si>
  <si>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</si>
  <si>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</si>
  <si>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</si>
  <si>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</si>
  <si>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</si>
  <si>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</si>
  <si>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</si>
  <si>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</si>
  <si>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</si>
  <si>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</si>
  <si>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</si>
  <si>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</si>
  <si>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</si>
  <si>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</si>
  <si>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</si>
  <si>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</si>
  <si>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</si>
  <si>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</si>
  <si>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</si>
  <si>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</si>
  <si>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</si>
  <si>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</si>
  <si>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</si>
  <si>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</si>
  <si>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</si>
  <si>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</si>
  <si>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</si>
  <si>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</si>
  <si>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</si>
  <si>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</si>
  <si>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</si>
  <si>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</si>
  <si>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</si>
  <si>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</si>
  <si>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</si>
  <si>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</si>
  <si>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</si>
  <si>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</si>
  <si>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</si>
  <si>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</si>
  <si>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</si>
  <si>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</si>
  <si>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</si>
  <si>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</si>
  <si>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</si>
  <si>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</si>
  <si>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</si>
  <si>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</si>
  <si>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</si>
  <si>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</si>
  <si>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</si>
  <si>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</si>
  <si>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</si>
  <si>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</si>
  <si>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</si>
  <si>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</si>
  <si>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</si>
  <si>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</si>
  <si>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</si>
  <si>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</si>
  <si>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</si>
  <si>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</si>
  <si>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</si>
  <si>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</si>
  <si>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</si>
  <si>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</si>
  <si>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</si>
  <si>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</si>
  <si>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</si>
  <si>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</si>
  <si>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</si>
  <si>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</si>
  <si>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</si>
  <si>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</si>
  <si>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</si>
  <si>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</si>
  <si>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</si>
  <si>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</si>
  <si>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</si>
  <si>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</si>
  <si>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</si>
  <si>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</si>
  <si>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</si>
  <si>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</si>
  <si>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</si>
  <si>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</si>
  <si>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</si>
  <si>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</si>
  <si>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</si>
  <si>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</si>
  <si>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</si>
  <si>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</si>
  <si>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</si>
  <si>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</si>
  <si>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</si>
  <si>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</si>
  <si>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</si>
  <si>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</si>
  <si>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</si>
  <si>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</si>
  <si>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</si>
  <si>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</si>
  <si>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</si>
  <si>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</si>
  <si>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</si>
  <si>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</si>
  <si>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</si>
  <si>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</si>
  <si>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</si>
  <si>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</si>
  <si>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</si>
  <si>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</si>
  <si>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</si>
  <si>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</si>
  <si>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</si>
  <si>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</si>
  <si>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</si>
  <si>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</si>
  <si>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</si>
  <si>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</si>
  <si>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</si>
  <si>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</si>
  <si>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</si>
  <si>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</si>
  <si>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</si>
  <si>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</si>
  <si>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</si>
  <si>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</si>
  <si>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</si>
  <si>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</si>
  <si>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</si>
  <si>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</si>
  <si>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</si>
  <si>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</si>
  <si>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</si>
  <si>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</si>
  <si>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</si>
  <si>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</si>
  <si>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</si>
  <si>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</si>
  <si>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</si>
  <si>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</si>
  <si>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</si>
  <si>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</si>
  <si>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</si>
  <si>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</si>
  <si>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</si>
  <si>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</si>
  <si>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</si>
  <si>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</si>
  <si>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</si>
  <si>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</si>
  <si>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</si>
  <si>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</si>
  <si>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</si>
  <si>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</si>
  <si>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</si>
  <si>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</si>
  <si>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</si>
  <si>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</si>
  <si>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</si>
  <si>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</si>
  <si>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</si>
  <si>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</si>
  <si>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</si>
  <si>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</si>
  <si>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</si>
  <si>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</si>
  <si>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</si>
  <si>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</si>
  <si>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</si>
  <si>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</si>
  <si>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</si>
  <si>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</si>
  <si>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</si>
  <si>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</si>
  <si>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</si>
  <si>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</si>
  <si>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</si>
  <si>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</si>
  <si>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</si>
  <si>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</si>
  <si>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</si>
  <si>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</si>
  <si>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</si>
  <si>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</si>
  <si>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</si>
  <si>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</si>
  <si>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</si>
  <si>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</si>
  <si>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</si>
  <si>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</si>
  <si>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</si>
  <si>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</si>
  <si>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</si>
  <si>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</si>
  <si>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</si>
  <si>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</si>
  <si>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</si>
  <si>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</si>
  <si>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</si>
  <si>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</si>
  <si>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</si>
  <si>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</si>
  <si>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</si>
  <si>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</si>
  <si>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</si>
  <si>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</si>
  <si>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</si>
  <si>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</si>
  <si>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</si>
  <si>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</si>
  <si>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</si>
  <si>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</si>
  <si>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</si>
  <si>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</si>
  <si>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</si>
  <si>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</si>
  <si>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</si>
  <si>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</si>
  <si>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</si>
  <si>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</si>
  <si>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</si>
  <si>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</si>
  <si>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</si>
  <si>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</si>
  <si>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</si>
  <si>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</si>
  <si>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</si>
  <si>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</si>
  <si>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</si>
  <si>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</si>
  <si>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</si>
  <si>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</si>
  <si>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</si>
  <si>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</si>
  <si>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</si>
  <si>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</si>
  <si>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</si>
  <si>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</si>
  <si>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</si>
  <si>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</si>
  <si>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</si>
  <si>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</si>
  <si>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</si>
  <si>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</si>
  <si>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</si>
  <si>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</si>
  <si>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</si>
  <si>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</si>
  <si>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</si>
  <si>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</si>
  <si>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</si>
  <si>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</si>
  <si>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</si>
  <si>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</si>
  <si>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</si>
  <si>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</si>
  <si>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</si>
  <si>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</si>
  <si>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</si>
  <si>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</si>
  <si>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</si>
  <si>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</si>
  <si>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</si>
  <si>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</si>
  <si>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</si>
  <si>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</si>
  <si>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</si>
  <si>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</si>
  <si>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</si>
  <si>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</si>
  <si>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</si>
  <si>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</si>
  <si>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</si>
  <si>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</si>
  <si>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</si>
  <si>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</si>
  <si>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</si>
  <si>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</si>
  <si>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</si>
  <si>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</si>
  <si>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</si>
  <si>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</si>
  <si>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</si>
  <si>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</si>
  <si>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</si>
  <si>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</si>
  <si>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</si>
  <si>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</si>
  <si>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</si>
  <si>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</si>
  <si>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</si>
  <si>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</si>
  <si>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</si>
  <si>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</si>
  <si>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</si>
  <si>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</si>
  <si>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</si>
  <si>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</si>
  <si>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</si>
  <si>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</si>
  <si>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</si>
  <si>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</si>
  <si>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</si>
  <si>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</si>
  <si>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</si>
  <si>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</si>
  <si>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</si>
  <si>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</si>
  <si>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</si>
  <si>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</si>
  <si>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</si>
  <si>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</si>
  <si>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</si>
  <si>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</si>
  <si>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</si>
  <si>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</si>
  <si>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</si>
  <si>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</si>
  <si>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</si>
  <si>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</si>
  <si>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</si>
  <si>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</si>
  <si>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</si>
  <si>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</si>
  <si>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</si>
  <si>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</si>
  <si>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</si>
  <si>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</si>
  <si>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</si>
  <si>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</si>
  <si>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</si>
  <si>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</si>
  <si>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</si>
  <si>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</si>
  <si>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</si>
  <si>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</si>
  <si>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</si>
  <si>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</si>
  <si>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</si>
  <si>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</si>
  <si>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</si>
  <si>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</si>
  <si>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</si>
  <si>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</si>
  <si>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</si>
  <si>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</si>
  <si>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</si>
  <si>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</si>
  <si>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</si>
  <si>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</si>
  <si>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</si>
  <si>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</si>
  <si>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</si>
  <si>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</si>
  <si>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</si>
  <si>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</si>
  <si>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</si>
  <si>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</si>
  <si>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</si>
  <si>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</si>
  <si>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</si>
  <si>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</si>
  <si>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</si>
  <si>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</si>
  <si>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</si>
  <si>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</si>
  <si>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</si>
  <si>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</si>
  <si>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</si>
  <si>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</si>
  <si>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</si>
  <si>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</si>
  <si>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</si>
  <si>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</si>
  <si>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</si>
  <si>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</si>
  <si>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</si>
  <si>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</si>
  <si>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</si>
  <si>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</si>
  <si>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</si>
  <si>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</si>
  <si>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</si>
  <si>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</si>
  <si>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</si>
  <si>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</si>
  <si>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</si>
  <si>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</si>
  <si>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</si>
  <si>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</si>
  <si>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</si>
  <si>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</si>
  <si>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</si>
  <si>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</si>
  <si>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</si>
  <si>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</si>
  <si>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</si>
  <si>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</si>
  <si>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</si>
  <si>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</si>
  <si>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</si>
  <si>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</si>
  <si>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</si>
  <si>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</si>
  <si>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</si>
  <si>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</si>
  <si>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</si>
  <si>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</si>
  <si>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</si>
  <si>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</si>
  <si>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</si>
  <si>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</si>
  <si>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</si>
  <si>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</si>
  <si>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</si>
  <si>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</si>
  <si>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</si>
  <si>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</si>
  <si>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</si>
  <si>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</si>
  <si>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</si>
  <si>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</si>
  <si>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</si>
  <si>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</si>
  <si>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</si>
  <si>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</si>
  <si>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</si>
  <si>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</si>
  <si>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</si>
  <si>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</si>
  <si>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</si>
  <si>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</si>
  <si>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</si>
  <si>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</si>
  <si>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</si>
  <si>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</si>
  <si>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</si>
  <si>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</si>
  <si>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</si>
  <si>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</si>
  <si>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</si>
  <si>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</si>
  <si>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</si>
  <si>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</si>
  <si>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</si>
  <si>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</si>
  <si>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</si>
  <si>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</si>
  <si>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</si>
  <si>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</si>
  <si>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</si>
  <si>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</si>
  <si>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</si>
  <si>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</si>
  <si>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</si>
  <si>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</si>
  <si>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</si>
  <si>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</si>
  <si>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</si>
  <si>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</si>
  <si>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</si>
  <si>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</si>
  <si>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</si>
  <si>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</si>
  <si>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</si>
  <si>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</si>
  <si>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</si>
  <si>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</si>
  <si>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</si>
  <si>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</si>
  <si>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</si>
  <si>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</si>
  <si>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</si>
  <si>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</si>
  <si>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</si>
  <si>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</si>
  <si>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</si>
  <si>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</si>
  <si>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</si>
  <si>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</si>
  <si>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</si>
  <si>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</si>
  <si>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</si>
  <si>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</si>
  <si>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</si>
  <si>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</si>
  <si>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</si>
  <si>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</si>
  <si>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</si>
  <si>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</si>
  <si>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</si>
  <si>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</si>
  <si>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</si>
  <si>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</si>
  <si>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</si>
  <si>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</si>
  <si>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</si>
  <si>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</si>
  <si>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</si>
  <si>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</si>
  <si>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</si>
  <si>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</si>
  <si>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</si>
  <si>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</si>
  <si>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</si>
  <si>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</si>
  <si>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</si>
  <si>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</si>
  <si>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</si>
  <si>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</si>
  <si>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</si>
  <si>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</si>
  <si>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</si>
  <si>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</si>
  <si>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</si>
  <si>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</si>
  <si>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</si>
  <si>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</si>
  <si>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</si>
  <si>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</si>
  <si>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</si>
  <si>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</si>
  <si>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</si>
  <si>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</si>
  <si>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</si>
  <si>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</si>
  <si>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</si>
  <si>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</si>
  <si>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</si>
  <si>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</si>
  <si>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</si>
  <si>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</si>
  <si>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</si>
  <si>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</si>
  <si>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</si>
  <si>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</si>
  <si>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</si>
  <si>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</si>
  <si>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</si>
  <si>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</si>
  <si>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</si>
  <si>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</si>
  <si>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</si>
  <si>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</si>
  <si>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</si>
  <si>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</si>
  <si>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</si>
  <si>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</si>
  <si>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</si>
  <si>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</si>
  <si>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</si>
  <si>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</si>
  <si>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</si>
  <si>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</si>
  <si>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</si>
  <si>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</si>
  <si>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</si>
  <si>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</si>
  <si>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</si>
  <si>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</si>
  <si>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</si>
  <si>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</si>
  <si>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</si>
  <si>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</si>
  <si>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</si>
  <si>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</si>
  <si>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</si>
  <si>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</si>
  <si>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</si>
  <si>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</si>
  <si>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</si>
  <si>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</si>
  <si>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</si>
  <si>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</si>
  <si>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</si>
  <si>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</si>
  <si>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</si>
  <si>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</si>
  <si>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</si>
  <si>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</si>
  <si>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</si>
  <si>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</si>
  <si>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</si>
  <si>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</si>
  <si>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</si>
  <si>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</si>
  <si>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</si>
  <si>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</si>
  <si>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</si>
  <si>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</si>
  <si>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</si>
  <si>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</si>
  <si>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</si>
  <si>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</si>
  <si>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</si>
  <si>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</si>
  <si>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</si>
  <si>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</si>
  <si>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</si>
  <si>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</si>
  <si>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</si>
  <si>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</si>
  <si>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</si>
  <si>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</si>
  <si>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</si>
  <si>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</si>
  <si>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</si>
  <si>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</si>
  <si>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</si>
  <si>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</si>
  <si>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</si>
  <si>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</si>
  <si>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</si>
  <si>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</si>
  <si>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</si>
  <si>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</si>
  <si>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</si>
  <si>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</si>
  <si>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</si>
  <si>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</si>
  <si>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</si>
  <si>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</si>
  <si>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</si>
  <si>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</si>
  <si>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</si>
  <si>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</si>
  <si>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</si>
  <si>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</si>
  <si>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</si>
  <si>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</si>
  <si>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</si>
  <si>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</si>
  <si>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</si>
  <si>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</si>
  <si>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</si>
  <si>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</si>
  <si>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</si>
  <si>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</si>
  <si>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</si>
  <si>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</si>
  <si>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</si>
  <si>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</si>
  <si>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</si>
  <si>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</si>
  <si>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</si>
  <si>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</si>
  <si>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</si>
  <si>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</si>
  <si>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</si>
  <si>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</si>
  <si>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</si>
  <si>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</si>
  <si>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</si>
  <si>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</si>
  <si>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</si>
  <si>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</si>
  <si>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</si>
  <si>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</si>
  <si>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</si>
  <si>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</si>
  <si>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</si>
  <si>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</si>
  <si>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</si>
  <si>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</si>
  <si>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</si>
  <si>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</si>
  <si>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</si>
  <si>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</si>
  <si>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</si>
  <si>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</si>
  <si>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</si>
  <si>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</si>
  <si>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</si>
  <si>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</si>
  <si>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</si>
  <si>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</si>
  <si>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</si>
  <si>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</si>
  <si>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</si>
  <si>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</si>
  <si>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</si>
  <si>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</si>
  <si>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</si>
  <si>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</si>
  <si>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</si>
  <si>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</si>
  <si>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</si>
  <si>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</si>
  <si>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</si>
  <si>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</si>
  <si>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</si>
  <si>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</si>
  <si>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</si>
  <si>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</si>
  <si>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</si>
  <si>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</si>
  <si>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</si>
  <si>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</si>
  <si>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</si>
  <si>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</si>
  <si>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</si>
  <si>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</si>
  <si>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</si>
  <si>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</si>
  <si>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</si>
  <si>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</si>
  <si>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</si>
  <si>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</si>
  <si>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</si>
  <si>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</si>
  <si>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</si>
  <si>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</si>
  <si>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</si>
  <si>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</si>
  <si>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</si>
  <si>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</si>
  <si>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</si>
  <si>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</si>
  <si>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</si>
  <si>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</si>
  <si>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</si>
  <si>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</si>
  <si>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</si>
  <si>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</si>
  <si>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</si>
  <si>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</si>
  <si>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</si>
  <si>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</si>
  <si>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</si>
  <si>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</si>
  <si>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</si>
  <si>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</si>
  <si>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</si>
  <si>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</si>
  <si>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</si>
  <si>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</si>
  <si>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</si>
  <si>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</si>
  <si>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</si>
  <si>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</si>
  <si>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</si>
  <si>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</si>
  <si>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</si>
  <si>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</si>
  <si>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</si>
  <si>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</si>
  <si>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</si>
  <si>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</si>
  <si>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</si>
  <si>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</si>
  <si>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</si>
  <si>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</si>
  <si>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</si>
  <si>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</si>
  <si>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</si>
  <si>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</si>
  <si>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</si>
  <si>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</si>
  <si>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</si>
  <si>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</si>
  <si>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</si>
  <si>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</si>
  <si>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</si>
  <si>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</si>
  <si>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</si>
  <si>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</si>
  <si>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</si>
  <si>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</si>
  <si>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</si>
  <si>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</si>
  <si>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</si>
  <si>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</si>
  <si>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</si>
  <si>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</si>
  <si>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</si>
  <si>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</si>
  <si>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</si>
  <si>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</si>
  <si>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</si>
  <si>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</si>
  <si>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</si>
  <si>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</si>
  <si>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</si>
  <si>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</si>
  <si>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</si>
  <si>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</si>
  <si>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</si>
  <si>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</si>
  <si>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</si>
  <si>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</si>
  <si>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</si>
  <si>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</si>
  <si>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</si>
  <si>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</si>
  <si>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</si>
  <si>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</si>
  <si>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</si>
  <si>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</si>
  <si>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</si>
  <si>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</si>
  <si>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</si>
  <si>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</si>
  <si>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</si>
  <si>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</si>
  <si>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</si>
  <si>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</si>
  <si>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</si>
  <si>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</si>
  <si>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</si>
  <si>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</si>
  <si>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</si>
  <si>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</si>
  <si>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</si>
  <si>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</si>
  <si>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</si>
  <si>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</si>
  <si>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</si>
  <si>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</si>
  <si>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</si>
  <si>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</si>
  <si>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</si>
  <si>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</si>
  <si>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</si>
  <si>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</si>
  <si>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</si>
  <si>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</si>
  <si>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</si>
  <si>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</si>
  <si>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</si>
  <si>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</si>
  <si>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</si>
  <si>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</si>
  <si>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</si>
  <si>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</si>
  <si>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</si>
  <si>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</si>
  <si>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</si>
  <si>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</si>
  <si>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</si>
  <si>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</si>
  <si>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</si>
  <si>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</si>
  <si>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</si>
  <si>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</si>
  <si>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</si>
  <si>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</si>
  <si>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</si>
  <si>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</si>
  <si>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</si>
  <si>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</si>
  <si>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</si>
  <si>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</si>
  <si>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</si>
  <si>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</si>
  <si>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</si>
  <si>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</si>
  <si>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</si>
  <si>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</si>
  <si>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</si>
  <si>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</si>
  <si>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</si>
  <si>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</si>
  <si>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</si>
  <si>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</si>
  <si>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</si>
  <si>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</si>
  <si>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</si>
  <si>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</si>
  <si>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</si>
  <si>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</si>
  <si>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</si>
  <si>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</si>
  <si>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</si>
  <si>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</si>
  <si>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</si>
  <si>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</si>
  <si>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</si>
  <si>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</si>
  <si>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</si>
  <si>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</si>
  <si>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</si>
  <si>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</si>
  <si>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</si>
  <si>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</si>
  <si>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</si>
  <si>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</si>
  <si>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</si>
  <si>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</si>
  <si>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</si>
  <si>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</si>
  <si>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</si>
  <si>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</si>
  <si>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</si>
  <si>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</si>
  <si>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</si>
  <si>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</si>
  <si>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</si>
  <si>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</si>
  <si>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</si>
  <si>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</si>
  <si>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</si>
  <si>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</si>
  <si>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</si>
  <si>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</si>
  <si>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</si>
  <si>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</si>
  <si>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</si>
  <si>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</si>
  <si>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</si>
  <si>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</si>
  <si>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</si>
  <si>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</si>
  <si>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</si>
  <si>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</si>
  <si>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</si>
  <si>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</si>
  <si>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</si>
  <si>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</si>
  <si>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</si>
  <si>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</si>
  <si>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</si>
  <si>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</si>
  <si>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</si>
  <si>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</si>
  <si>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</si>
  <si>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</si>
  <si>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</si>
  <si>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</si>
  <si>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</si>
  <si>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</si>
  <si>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</si>
  <si>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</si>
  <si>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</si>
  <si>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</si>
  <si>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</si>
  <si>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</si>
  <si>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</si>
  <si>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</si>
  <si>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</si>
  <si>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</si>
  <si>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</si>
  <si>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</si>
  <si>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</si>
  <si>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</si>
  <si>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</si>
  <si>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</si>
  <si>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</si>
  <si>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</si>
  <si>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</si>
  <si>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</si>
  <si>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</si>
  <si>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</si>
  <si>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</si>
  <si>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</si>
  <si>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</si>
  <si>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</si>
  <si>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</si>
  <si>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</si>
  <si>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</si>
  <si>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</si>
  <si>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</si>
  <si>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</si>
  <si>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</si>
  <si>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</si>
  <si>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</si>
  <si>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</si>
  <si>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</si>
  <si>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</si>
  <si>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</si>
  <si>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</si>
  <si>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</si>
  <si>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</si>
  <si>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</si>
  <si>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</si>
  <si>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</si>
  <si>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</si>
  <si>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</si>
  <si>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</si>
  <si>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</si>
  <si>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</si>
  <si>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</si>
  <si>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</si>
  <si>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</si>
  <si>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</si>
  <si>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</si>
  <si>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</si>
  <si>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</si>
  <si>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</si>
  <si>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</si>
  <si>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</si>
  <si>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</si>
  <si>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</si>
  <si>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</si>
  <si>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</si>
  <si>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</si>
  <si>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</si>
  <si>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</si>
  <si>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</si>
  <si>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</si>
  <si>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</si>
  <si>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</si>
  <si>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</si>
  <si>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</si>
  <si>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</si>
  <si>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</si>
  <si>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</si>
  <si>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</si>
  <si>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</si>
  <si>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</si>
  <si>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</si>
  <si>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</si>
  <si>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</si>
  <si>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</si>
  <si>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</si>
  <si>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</si>
  <si>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</si>
  <si>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</si>
  <si>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</si>
  <si>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</si>
  <si>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</si>
  <si>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</si>
  <si>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</si>
  <si>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</si>
  <si>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</si>
  <si>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</si>
  <si>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</si>
  <si>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</si>
  <si>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</si>
  <si>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</si>
  <si>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</si>
  <si>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</si>
  <si>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</si>
  <si>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</si>
  <si>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</si>
  <si>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</si>
  <si>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</si>
  <si>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</si>
  <si>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</si>
  <si>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</si>
  <si>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</si>
  <si>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</si>
  <si>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</si>
  <si>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</si>
  <si>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</si>
  <si>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</si>
  <si>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</si>
  <si>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</si>
  <si>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</si>
  <si>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</si>
  <si>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</si>
  <si>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</si>
  <si>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</si>
  <si>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</si>
  <si>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</si>
  <si>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</si>
  <si>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</si>
  <si>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</si>
  <si>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</si>
  <si>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</si>
  <si>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</si>
  <si>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</si>
  <si>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</si>
  <si>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</si>
  <si>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</si>
  <si>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</si>
  <si>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</si>
  <si>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</si>
  <si>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</si>
  <si>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</si>
  <si>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</si>
  <si>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</si>
  <si>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</si>
  <si>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</si>
  <si>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</si>
  <si>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</si>
  <si>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</si>
  <si>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</si>
  <si>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</si>
  <si>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</si>
  <si>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</si>
  <si>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</si>
  <si>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</si>
  <si>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</si>
  <si>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</si>
  <si>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</si>
  <si>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</si>
  <si>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</si>
  <si>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</si>
  <si>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</si>
  <si>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</si>
  <si>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</si>
  <si>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</si>
  <si>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</si>
  <si>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</si>
  <si>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</si>
  <si>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</si>
  <si>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</si>
  <si>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</si>
  <si>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</si>
  <si>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</si>
  <si>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</si>
  <si>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</si>
  <si>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</si>
  <si>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</si>
  <si>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</si>
  <si>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</si>
  <si>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</si>
  <si>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</si>
  <si>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</si>
  <si>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</si>
  <si>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</si>
  <si>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</si>
  <si>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</si>
  <si>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</si>
  <si>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</si>
  <si>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</si>
  <si>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</si>
  <si>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</si>
  <si>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</si>
  <si>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</si>
  <si>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</si>
  <si>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</si>
  <si>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</si>
  <si>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</si>
  <si>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</si>
  <si>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</si>
  <si>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</si>
  <si>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</si>
  <si>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</si>
  <si>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</si>
  <si>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</si>
  <si>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</si>
  <si>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</si>
  <si>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</si>
  <si>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</si>
  <si>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</si>
  <si>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</si>
  <si>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</si>
  <si>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</si>
  <si>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</si>
  <si>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</si>
  <si>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</si>
  <si>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</si>
  <si>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</si>
  <si>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</si>
  <si>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</si>
  <si>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</si>
  <si>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</si>
  <si>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</si>
  <si>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</si>
  <si>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</si>
  <si>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</si>
  <si>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</si>
  <si>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</si>
  <si>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</si>
  <si>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</si>
  <si>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</si>
  <si>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</si>
  <si>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</si>
  <si>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</si>
  <si>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</si>
  <si>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</si>
  <si>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</si>
  <si>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</si>
  <si>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</si>
  <si>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</si>
  <si>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</si>
  <si>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</si>
  <si>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</si>
  <si>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</si>
  <si>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</si>
  <si>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</si>
  <si>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</si>
  <si>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</si>
  <si>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</si>
  <si>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</si>
  <si>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</si>
  <si>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</si>
  <si>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</si>
  <si>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</si>
  <si>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</si>
  <si>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</si>
  <si>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</si>
  <si>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</si>
  <si>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</si>
  <si>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</si>
  <si>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</si>
  <si>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</si>
  <si>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</si>
  <si>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</si>
  <si>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</si>
  <si>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</si>
  <si>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</si>
  <si>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</si>
  <si>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</si>
  <si>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</si>
  <si>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</si>
  <si>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</si>
  <si>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</si>
  <si>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</si>
  <si>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</si>
  <si>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</si>
  <si>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</si>
  <si>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</si>
  <si>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</si>
  <si>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</si>
  <si>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</si>
  <si>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</si>
  <si>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</si>
  <si>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</si>
  <si>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</si>
  <si>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</si>
  <si>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</si>
  <si>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</si>
  <si>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</si>
  <si>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</si>
  <si>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</si>
  <si>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</si>
  <si>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</si>
  <si>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</si>
  <si>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</si>
  <si>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</si>
  <si>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</si>
  <si>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</si>
  <si>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</si>
  <si>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</si>
  <si>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</si>
  <si>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</si>
  <si>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</si>
  <si>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</si>
  <si>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</si>
  <si>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</si>
  <si>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</si>
  <si>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</si>
  <si>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</si>
  <si>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</si>
  <si>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</si>
  <si>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</si>
  <si>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</si>
  <si>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</si>
  <si>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</si>
  <si>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</si>
  <si>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</si>
  <si>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</si>
  <si>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</si>
  <si>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</si>
  <si>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</si>
  <si>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</si>
  <si>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</si>
  <si>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</si>
  <si>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</si>
  <si>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</si>
  <si>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</si>
  <si>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</si>
  <si>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</si>
  <si>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</si>
  <si>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</si>
  <si>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</si>
  <si>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</si>
  <si>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</si>
  <si>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</si>
  <si>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</si>
  <si>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</si>
  <si>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</si>
  <si>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</si>
  <si>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</si>
  <si>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</si>
  <si>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</si>
  <si>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</si>
  <si>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</si>
  <si>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</si>
  <si>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</si>
  <si>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</si>
  <si>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</si>
  <si>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</si>
  <si>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</si>
  <si>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</si>
  <si>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</si>
  <si>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</si>
  <si>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</si>
  <si>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</si>
  <si>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</si>
  <si>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</si>
  <si>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</si>
  <si>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</si>
  <si>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</si>
  <si>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</si>
  <si>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</si>
  <si>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</si>
  <si>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</si>
  <si>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</si>
  <si>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</si>
  <si>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</si>
  <si>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</si>
  <si>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</si>
  <si>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</si>
  <si>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</si>
  <si>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</si>
  <si>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</si>
  <si>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</si>
  <si>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</si>
  <si>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</si>
  <si>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</si>
  <si>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</si>
  <si>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</si>
  <si>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</si>
  <si>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</si>
  <si>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</si>
  <si>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</si>
  <si>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</si>
  <si>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</si>
  <si>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</si>
  <si>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</si>
  <si>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</si>
  <si>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</si>
  <si>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</si>
  <si>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</si>
  <si>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</si>
  <si>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</si>
  <si>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</si>
  <si>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</si>
  <si>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</si>
  <si>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</si>
  <si>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</si>
  <si>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</si>
  <si>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</si>
  <si>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</si>
  <si>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</si>
  <si>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</si>
  <si>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</si>
  <si>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</si>
  <si>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</si>
  <si>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</si>
  <si>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</si>
  <si>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</si>
  <si>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</si>
  <si>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</si>
  <si>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</si>
  <si>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</si>
  <si>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</si>
  <si>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</si>
  <si>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</si>
  <si>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</si>
  <si>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</si>
  <si>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</si>
  <si>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</si>
  <si>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</si>
  <si>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</si>
  <si>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</si>
  <si>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</si>
  <si>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</si>
  <si>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</si>
  <si>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</si>
  <si>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</si>
  <si>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</si>
  <si>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</si>
  <si>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</si>
  <si>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</si>
  <si>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</si>
  <si>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</si>
  <si>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</si>
  <si>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</si>
  <si>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</si>
  <si>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</si>
  <si>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</si>
  <si>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</si>
  <si>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</si>
  <si>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</si>
  <si>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</si>
  <si>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</si>
  <si>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</si>
  <si>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</si>
  <si>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</si>
  <si>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</si>
  <si>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</si>
  <si>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</si>
  <si>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</si>
  <si>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</si>
  <si>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</si>
  <si>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</si>
  <si>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</si>
  <si>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</si>
  <si>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</si>
  <si>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</si>
  <si>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</si>
  <si>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</si>
  <si>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</si>
  <si>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</si>
  <si>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</si>
  <si>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</si>
  <si>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</si>
  <si>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</si>
  <si>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</si>
  <si>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</si>
  <si>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</si>
  <si>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</si>
  <si>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</si>
  <si>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</si>
  <si>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</si>
  <si>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</si>
  <si>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</si>
  <si>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</si>
  <si>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</si>
  <si>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</si>
  <si>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</si>
  <si>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</si>
  <si>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</si>
  <si>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</si>
  <si>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</si>
  <si>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</si>
  <si>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</si>
  <si>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</si>
  <si>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</si>
  <si>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</si>
  <si>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</si>
  <si>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</si>
  <si>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</si>
  <si>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</si>
  <si>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</si>
  <si>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</si>
  <si>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</si>
  <si>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</si>
  <si>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</si>
  <si>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</si>
  <si>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</si>
  <si>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</si>
  <si>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</si>
  <si>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</si>
  <si>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</si>
  <si>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</si>
  <si>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</si>
  <si>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</si>
  <si>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</si>
  <si>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</si>
  <si>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</si>
  <si>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</si>
  <si>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</si>
  <si>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</si>
  <si>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</si>
  <si>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</si>
  <si>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</si>
  <si>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</si>
  <si>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</si>
  <si>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</si>
  <si>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</si>
  <si>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</si>
  <si>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</si>
  <si>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</si>
  <si>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</si>
  <si>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</si>
  <si>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</si>
  <si>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</si>
  <si>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</si>
  <si>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</si>
  <si>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</si>
  <si>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</si>
  <si>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</si>
  <si>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</si>
  <si>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</si>
  <si>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</si>
  <si>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</si>
  <si>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</si>
  <si>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</si>
  <si>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</si>
  <si>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</si>
  <si>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</si>
  <si>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</si>
  <si>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</si>
  <si>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</si>
  <si>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</si>
  <si>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</si>
  <si>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</si>
  <si>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</si>
  <si>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</si>
  <si>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</si>
  <si>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</si>
  <si>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</si>
  <si>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</si>
  <si>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</si>
  <si>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</si>
  <si>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</si>
  <si>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</si>
  <si>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</si>
  <si>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</si>
  <si>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</si>
  <si>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</si>
  <si>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</si>
  <si>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</si>
  <si>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</si>
  <si>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</si>
  <si>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</si>
  <si>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</si>
  <si>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</si>
  <si>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</si>
  <si>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</si>
  <si>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</si>
  <si>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</si>
  <si>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</si>
  <si>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</si>
  <si>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</si>
  <si>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</si>
  <si>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</si>
  <si>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</si>
  <si>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</si>
  <si>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</si>
  <si>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</si>
  <si>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</si>
  <si>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</si>
  <si>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</si>
  <si>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</si>
  <si>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</si>
  <si>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</si>
  <si>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</si>
  <si>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</si>
  <si>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</si>
  <si>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</si>
  <si>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</si>
  <si>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</si>
  <si>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</si>
  <si>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</si>
  <si>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</si>
  <si>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</si>
  <si>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</si>
  <si>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</si>
  <si>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</si>
  <si>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</si>
  <si>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</si>
  <si>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</si>
  <si>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</si>
  <si>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</si>
  <si>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</si>
  <si>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</si>
  <si>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</si>
  <si>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</si>
  <si>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</si>
  <si>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</si>
  <si>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</si>
  <si>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</si>
  <si>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</si>
  <si>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</si>
  <si>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</si>
  <si>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</si>
  <si>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</si>
  <si>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</si>
  <si>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</si>
  <si>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</si>
  <si>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</si>
  <si>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</si>
  <si>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</si>
  <si>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</si>
  <si>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</si>
  <si>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</si>
  <si>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</si>
  <si>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</si>
  <si>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</si>
  <si>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</si>
  <si>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</si>
  <si>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</si>
  <si>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</si>
  <si>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</si>
  <si>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</si>
  <si>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</si>
  <si>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</si>
  <si>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</si>
  <si>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</si>
  <si>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</si>
  <si>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</si>
  <si>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</si>
  <si>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</si>
  <si>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</si>
  <si>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</si>
  <si>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</si>
  <si>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</si>
  <si>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</si>
  <si>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</si>
  <si>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</si>
  <si>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</si>
  <si>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</si>
  <si>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</si>
  <si>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</si>
  <si>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</si>
  <si>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</si>
  <si>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</si>
  <si>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</si>
  <si>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</si>
  <si>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</si>
  <si>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</si>
  <si>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</si>
  <si>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</si>
  <si>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</si>
  <si>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</si>
  <si>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</si>
  <si>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</si>
  <si>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</si>
  <si>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</si>
  <si>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</si>
  <si>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</si>
  <si>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</si>
  <si>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</si>
  <si>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</si>
  <si>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</si>
  <si>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</si>
  <si>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</si>
  <si>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</si>
  <si>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</si>
  <si>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</si>
  <si>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</si>
  <si>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</si>
  <si>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</si>
  <si>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</si>
  <si>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</si>
  <si>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</si>
  <si>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</si>
  <si>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</si>
  <si>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</si>
  <si>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</si>
  <si>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</si>
  <si>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</si>
  <si>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</si>
  <si>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</si>
  <si>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</si>
  <si>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</si>
  <si>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</si>
  <si>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</si>
  <si>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</si>
  <si>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</si>
  <si>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</si>
  <si>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</si>
  <si>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</si>
  <si>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</si>
  <si>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</si>
  <si>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</si>
  <si>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</si>
  <si>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</si>
  <si>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</si>
  <si>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</si>
  <si>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</si>
  <si>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</si>
  <si>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</si>
  <si>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</si>
  <si>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</si>
  <si>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</si>
  <si>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</si>
  <si>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</si>
  <si>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</si>
  <si>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</si>
  <si>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</si>
  <si>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</si>
  <si>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</si>
  <si>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</si>
  <si>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</si>
  <si>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</si>
  <si>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</si>
  <si>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</si>
  <si>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</si>
  <si>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</si>
  <si>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</si>
  <si>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</si>
  <si>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</si>
  <si>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</si>
  <si>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</si>
  <si>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</si>
  <si>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</si>
  <si>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</si>
  <si>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</si>
  <si>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</si>
  <si>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</si>
  <si>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</si>
  <si>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</si>
  <si>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</si>
  <si>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</si>
  <si>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</si>
  <si>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</si>
  <si>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</si>
  <si>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</si>
  <si>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</si>
  <si>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</si>
  <si>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</si>
  <si>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</si>
  <si>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</si>
  <si>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</si>
  <si>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</si>
  <si>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</si>
  <si>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</si>
  <si>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</si>
  <si>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</si>
  <si>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</si>
  <si>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</si>
  <si>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</si>
  <si>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</si>
  <si>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</si>
  <si>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</si>
  <si>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</si>
  <si>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</si>
  <si>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</si>
  <si>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</si>
  <si>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</si>
  <si>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</si>
  <si>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</si>
  <si>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</si>
  <si>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</si>
  <si>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</si>
  <si>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</si>
  <si>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</si>
  <si>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</si>
  <si>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</si>
  <si>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</si>
  <si>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</si>
  <si>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</si>
  <si>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</si>
  <si>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</si>
  <si>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</si>
  <si>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</si>
  <si>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</si>
  <si>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</si>
  <si>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</si>
  <si>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</si>
  <si>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</si>
  <si>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</si>
  <si>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</si>
  <si>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</si>
  <si>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</si>
  <si>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</si>
  <si>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</si>
  <si>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</si>
  <si>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</si>
  <si>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</si>
  <si>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</si>
  <si>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</si>
  <si>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</si>
  <si>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</si>
  <si>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</si>
  <si>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</si>
  <si>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</si>
  <si>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</si>
  <si>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</si>
  <si>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</si>
  <si>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</si>
  <si>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</si>
  <si>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</si>
  <si>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</si>
  <si>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</si>
  <si>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</si>
  <si>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</si>
  <si>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</si>
  <si>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</si>
  <si>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</si>
  <si>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</si>
  <si>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</si>
  <si>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</si>
  <si>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</si>
  <si>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</si>
  <si>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</si>
  <si>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</si>
  <si>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</si>
  <si>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</si>
  <si>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</si>
  <si>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</si>
  <si>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</si>
  <si>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</si>
  <si>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</si>
  <si>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</si>
  <si>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</si>
  <si>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</si>
  <si>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</si>
  <si>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</si>
  <si>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</si>
  <si>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</si>
  <si>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</si>
  <si>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</si>
  <si>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</si>
  <si>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</si>
  <si>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</si>
  <si>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</si>
  <si>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</si>
  <si>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</si>
  <si>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</si>
  <si>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</si>
  <si>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</si>
  <si>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</si>
  <si>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</si>
  <si>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</si>
  <si>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</si>
  <si>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</si>
  <si>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</si>
  <si>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</si>
  <si>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</si>
  <si>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</si>
  <si>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</si>
  <si>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</si>
  <si>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</si>
  <si>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</si>
  <si>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</si>
  <si>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</si>
  <si>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</si>
  <si>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</si>
  <si>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</si>
  <si>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</si>
  <si>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</si>
  <si>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</si>
  <si>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</si>
  <si>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</si>
  <si>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</si>
  <si>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</si>
  <si>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</si>
  <si>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</si>
  <si>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</si>
  <si>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</si>
  <si>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</si>
  <si>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</si>
  <si>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</si>
  <si>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</si>
  <si>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</si>
  <si>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</si>
  <si>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</si>
  <si>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</si>
  <si>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</si>
  <si>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</si>
  <si>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</si>
  <si>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</si>
  <si>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</si>
  <si>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</si>
  <si>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</si>
  <si>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</si>
  <si>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</si>
  <si>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</si>
  <si>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</si>
  <si>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</si>
  <si>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</si>
  <si>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</si>
  <si>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</si>
  <si>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</si>
  <si>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</si>
  <si>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</si>
  <si>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</si>
  <si>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</si>
  <si>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</si>
  <si>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</si>
  <si>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</si>
  <si>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</si>
  <si>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</si>
  <si>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</si>
  <si>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</si>
  <si>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</si>
  <si>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</si>
  <si>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</si>
  <si>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</si>
  <si>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</si>
  <si>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</si>
  <si>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</si>
  <si>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</si>
  <si>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</si>
  <si>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</si>
  <si>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</si>
  <si>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</si>
  <si>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</si>
  <si>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</si>
  <si>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</si>
  <si>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</si>
  <si>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</si>
  <si>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</si>
  <si>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</si>
  <si>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</si>
  <si>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</si>
  <si>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</si>
  <si>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</si>
  <si>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</si>
  <si>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</si>
  <si>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</si>
  <si>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</si>
  <si>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</si>
  <si>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</si>
  <si>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</si>
  <si>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</si>
  <si>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</si>
  <si>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</si>
  <si>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</si>
  <si>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</si>
  <si>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</si>
  <si>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</si>
  <si>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</si>
  <si>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</si>
  <si>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</si>
  <si>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</si>
  <si>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</si>
  <si>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</si>
  <si>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</si>
  <si>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</si>
  <si>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</si>
  <si>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</si>
  <si>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</si>
  <si>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</si>
  <si>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</si>
  <si>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</si>
  <si>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</si>
  <si>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</si>
  <si>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</si>
  <si>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</si>
  <si>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</si>
  <si>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</si>
  <si>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</si>
  <si>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</si>
  <si>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</si>
  <si>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</si>
  <si>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</si>
  <si>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</si>
  <si>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</si>
  <si>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</si>
  <si>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</si>
  <si>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</si>
  <si>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</si>
  <si>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</si>
  <si>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</si>
  <si>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</si>
  <si>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</si>
  <si>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</si>
  <si>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</si>
  <si>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</si>
  <si>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</si>
  <si>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</si>
  <si>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</si>
  <si>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</si>
  <si>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</si>
  <si>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</si>
  <si>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</si>
  <si>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</si>
  <si>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</si>
  <si>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</si>
  <si>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</si>
  <si>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</si>
  <si>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</si>
  <si>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</si>
  <si>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</si>
  <si>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</si>
  <si>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</si>
  <si>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</si>
  <si>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</si>
  <si>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</si>
  <si>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</si>
  <si>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</si>
  <si>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</si>
  <si>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</si>
  <si>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</si>
  <si>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</si>
  <si>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</si>
  <si>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</si>
  <si>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</si>
  <si>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</si>
  <si>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</si>
  <si>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</si>
  <si>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</si>
  <si>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</si>
  <si>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</si>
  <si>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</si>
  <si>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</si>
  <si>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</si>
  <si>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</si>
  <si>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</si>
  <si>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</si>
  <si>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</si>
  <si>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</si>
  <si>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</si>
  <si>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</si>
  <si>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</si>
  <si>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</si>
  <si>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</si>
  <si>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</si>
  <si>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</si>
  <si>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</si>
  <si>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</si>
  <si>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</si>
  <si>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</si>
  <si>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</si>
  <si>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</si>
  <si>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</si>
  <si>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</si>
  <si>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</si>
  <si>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</si>
  <si>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</si>
  <si>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</si>
  <si>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</si>
  <si>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</si>
  <si>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</si>
  <si>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</si>
  <si>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</si>
  <si>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</si>
  <si>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</si>
  <si>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</si>
  <si>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</si>
  <si>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</si>
  <si>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</si>
  <si>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</si>
  <si>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</si>
  <si>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</si>
  <si>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</si>
  <si>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</si>
  <si>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</si>
  <si>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</si>
  <si>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</si>
  <si>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</si>
  <si>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</si>
  <si>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</si>
  <si>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</si>
  <si>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</si>
  <si>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</si>
  <si>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</si>
  <si>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</si>
  <si>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</si>
  <si>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</si>
  <si>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</si>
  <si>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</si>
  <si>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</si>
  <si>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</si>
  <si>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</si>
  <si>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</si>
  <si>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</si>
  <si>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</si>
  <si>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</si>
  <si>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</si>
  <si>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</si>
  <si>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</si>
  <si>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</si>
  <si>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</si>
  <si>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</si>
  <si>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</si>
  <si>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</si>
  <si>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</si>
  <si>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</si>
  <si>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</si>
  <si>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</si>
  <si>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</si>
  <si>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</si>
  <si>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</si>
  <si>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</si>
  <si>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</si>
  <si>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</si>
  <si>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</si>
  <si>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</si>
  <si>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</si>
  <si>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</si>
  <si>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</si>
  <si>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</si>
  <si>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</si>
  <si>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</si>
  <si>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</si>
  <si>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</si>
  <si>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</si>
  <si>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</si>
  <si>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</si>
  <si>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</si>
  <si>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</si>
  <si>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</si>
  <si>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</si>
  <si>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</si>
  <si>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</si>
  <si>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</si>
  <si>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</si>
  <si>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</si>
  <si>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</si>
  <si>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</si>
  <si>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</si>
  <si>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</si>
  <si>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</si>
  <si>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</si>
  <si>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</si>
  <si>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</si>
  <si>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</si>
  <si>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</si>
  <si>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</si>
  <si>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</si>
  <si>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</si>
  <si>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</si>
  <si>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</si>
  <si>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</si>
  <si>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</si>
  <si>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</si>
  <si>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</si>
  <si>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</si>
  <si>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</si>
  <si>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</si>
  <si>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</si>
  <si>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</si>
  <si>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</si>
  <si>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</si>
  <si>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</si>
  <si>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</si>
  <si>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</si>
  <si>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</si>
  <si>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</si>
  <si>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</si>
  <si>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</si>
  <si>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</si>
  <si>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</si>
  <si>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</si>
  <si>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</si>
  <si>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</si>
  <si>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</si>
  <si>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</si>
  <si>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</si>
  <si>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</si>
  <si>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</si>
  <si>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</si>
  <si>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</si>
  <si>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</si>
  <si>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</si>
  <si>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</si>
  <si>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</si>
  <si>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</si>
  <si>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</si>
  <si>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</si>
  <si>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</si>
  <si>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</si>
  <si>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</si>
  <si>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</si>
  <si>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</si>
  <si>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</si>
  <si>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</si>
  <si>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</si>
  <si>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</si>
  <si>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</si>
  <si>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</si>
  <si>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</si>
  <si>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</si>
  <si>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</si>
  <si>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</si>
  <si>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</si>
  <si>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</si>
  <si>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</si>
  <si>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</si>
  <si>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</si>
  <si>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</si>
  <si>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</si>
  <si>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</si>
  <si>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</si>
  <si>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</si>
  <si>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</si>
  <si>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</si>
  <si>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</si>
  <si>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</si>
  <si>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</si>
  <si>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</si>
  <si>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</si>
  <si>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</si>
  <si>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</si>
  <si>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</si>
  <si>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</si>
  <si>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</si>
  <si>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</si>
  <si>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</si>
  <si>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</si>
  <si>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</si>
  <si>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</si>
  <si>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</si>
  <si>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</si>
  <si>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</si>
  <si>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</si>
  <si>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</si>
  <si>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</si>
  <si>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</si>
  <si>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</si>
  <si>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</si>
  <si>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</si>
  <si>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</si>
  <si>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</si>
  <si>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</si>
  <si>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</si>
  <si>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</si>
  <si>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</si>
  <si>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</si>
  <si>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</si>
  <si>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</si>
  <si>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</si>
  <si>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</si>
  <si>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</si>
  <si>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</si>
  <si>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</si>
  <si>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</si>
  <si>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</si>
  <si>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</si>
  <si>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</si>
  <si>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</si>
  <si>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</si>
  <si>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</si>
  <si>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</si>
  <si>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</si>
  <si>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</si>
  <si>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</si>
  <si>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</si>
  <si>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</si>
  <si>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</si>
  <si>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</si>
  <si>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</si>
  <si>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</si>
  <si>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</si>
  <si>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</si>
  <si>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</si>
  <si>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</si>
  <si>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</si>
  <si>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</si>
  <si>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</si>
  <si>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</si>
  <si>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</si>
  <si>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</si>
  <si>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</si>
  <si>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</si>
  <si>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</si>
  <si>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</si>
  <si>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</si>
  <si>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</si>
  <si>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</si>
  <si>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</si>
  <si>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</si>
  <si>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</si>
  <si>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</si>
  <si>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</si>
  <si>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</si>
  <si>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</si>
  <si>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</si>
  <si>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</si>
  <si>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</si>
  <si>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</si>
  <si>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</si>
  <si>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</si>
  <si>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</si>
  <si>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</si>
  <si>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</si>
  <si>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</si>
  <si>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</si>
  <si>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</si>
  <si>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</si>
  <si>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</si>
  <si>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</si>
  <si>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</si>
  <si>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</si>
  <si>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</si>
  <si>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</si>
  <si>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</si>
  <si>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</si>
  <si>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</si>
  <si>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</si>
  <si>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</si>
  <si>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</si>
  <si>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</si>
  <si>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</si>
  <si>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</si>
  <si>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</si>
  <si>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</si>
  <si>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</si>
  <si>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</si>
  <si>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</si>
  <si>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</si>
  <si>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</si>
  <si>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</si>
  <si>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</si>
  <si>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</si>
  <si>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</si>
  <si>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</si>
  <si>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</si>
  <si>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</si>
  <si>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</si>
  <si>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</si>
  <si>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</si>
  <si>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</si>
  <si>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</si>
  <si>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</si>
  <si>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</si>
  <si>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</si>
  <si>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</si>
  <si>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</si>
  <si>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</si>
  <si>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</si>
  <si>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</si>
  <si>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</si>
  <si>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</si>
  <si>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</si>
  <si>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</si>
  <si>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</si>
  <si>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</si>
  <si>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</si>
  <si>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</si>
  <si>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</si>
  <si>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</si>
  <si>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</si>
  <si>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</si>
  <si>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</si>
  <si>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</si>
  <si>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</si>
  <si>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</si>
  <si>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</si>
  <si>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</si>
  <si>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</si>
  <si>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</si>
  <si>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</si>
  <si>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</si>
  <si>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</si>
  <si>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</si>
  <si>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</si>
  <si>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</si>
  <si>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</si>
  <si>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</si>
  <si>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</si>
  <si>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</si>
  <si>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</si>
  <si>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</si>
  <si>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</si>
  <si>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</si>
  <si>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</si>
  <si>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</si>
  <si>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</si>
  <si>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</si>
  <si>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</si>
  <si>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</si>
  <si>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</si>
  <si>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</si>
  <si>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</si>
  <si>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</si>
  <si>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</si>
  <si>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</si>
  <si>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</si>
  <si>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</si>
  <si>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</si>
  <si>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</si>
  <si>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</si>
  <si>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</si>
  <si>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</si>
  <si>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</si>
  <si>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</si>
  <si>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</si>
  <si>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</si>
  <si>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</si>
  <si>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</si>
  <si>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</si>
  <si>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</si>
  <si>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</si>
  <si>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</si>
  <si>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</si>
  <si>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</si>
  <si>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</si>
  <si>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</si>
  <si>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</si>
  <si>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</si>
  <si>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</si>
  <si>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</si>
  <si>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</si>
  <si>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</si>
  <si>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</si>
  <si>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</si>
  <si>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</si>
  <si>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</si>
  <si>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</si>
  <si>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</si>
  <si>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</si>
  <si>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</si>
  <si>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</si>
  <si>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</si>
  <si>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</si>
  <si>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</si>
  <si>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</si>
  <si>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</si>
  <si>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</si>
  <si>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</si>
  <si>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</si>
  <si>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</si>
  <si>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</si>
  <si>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</si>
  <si>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</si>
  <si>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</si>
  <si>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</si>
  <si>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</si>
  <si>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</si>
  <si>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</si>
  <si>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</si>
  <si>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</si>
  <si>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</si>
  <si>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</si>
  <si>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</si>
  <si>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</si>
  <si>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</si>
  <si>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</si>
  <si>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</si>
  <si>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</si>
  <si>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</si>
  <si>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</si>
  <si>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</si>
  <si>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</si>
  <si>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</si>
  <si>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</si>
  <si>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</si>
  <si>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</si>
  <si>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</si>
  <si>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</si>
  <si>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</si>
  <si>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</si>
  <si>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</si>
  <si>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</si>
  <si>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</si>
  <si>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</si>
  <si>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</si>
  <si>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</si>
  <si>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</si>
  <si>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</si>
  <si>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</si>
  <si>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</si>
  <si>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</si>
  <si>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</si>
  <si>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</si>
  <si>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</si>
  <si>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</si>
  <si>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</si>
  <si>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</si>
  <si>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</si>
  <si>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</si>
  <si>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</si>
  <si>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</si>
  <si>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</si>
  <si>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</si>
  <si>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</si>
  <si>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</si>
  <si>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</si>
  <si>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</si>
  <si>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</si>
  <si>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</si>
  <si>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</si>
  <si>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</si>
  <si>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</si>
  <si>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</si>
  <si>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</si>
  <si>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</si>
  <si>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</si>
  <si>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</si>
  <si>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</si>
  <si>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</si>
  <si>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</si>
  <si>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</si>
  <si>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</si>
  <si>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</si>
  <si>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</si>
  <si>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</si>
  <si>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</si>
  <si>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</si>
  <si>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</si>
  <si>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</si>
  <si>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</si>
  <si>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</si>
  <si>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</si>
  <si>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</si>
  <si>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</si>
  <si>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</si>
  <si>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</si>
  <si>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</si>
  <si>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</si>
  <si>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</si>
  <si>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</si>
  <si>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</si>
  <si>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</si>
  <si>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</si>
  <si>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</si>
  <si>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</si>
  <si>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</si>
  <si>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</si>
  <si>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</si>
  <si>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</si>
  <si>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</si>
  <si>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</si>
  <si>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</si>
  <si>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</si>
  <si>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</si>
  <si>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</si>
  <si>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</si>
  <si>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</si>
  <si>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</si>
  <si>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</si>
  <si>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</si>
  <si>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</si>
  <si>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</si>
  <si>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</si>
  <si>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</si>
  <si>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</si>
  <si>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</si>
  <si>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</si>
  <si>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</si>
  <si>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</si>
  <si>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</si>
  <si>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</si>
  <si>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</si>
  <si>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</si>
  <si>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</si>
  <si>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</si>
  <si>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</si>
  <si>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</si>
  <si>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</si>
  <si>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</si>
  <si>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</si>
  <si>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</si>
  <si>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</si>
  <si>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</si>
  <si>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</si>
  <si>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</si>
  <si>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</si>
  <si>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</si>
  <si>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</si>
  <si>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</si>
  <si>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</si>
  <si>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</si>
  <si>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</si>
  <si>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</si>
  <si>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</si>
  <si>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</si>
  <si>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</si>
  <si>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</si>
  <si>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</si>
  <si>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</si>
  <si>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</si>
  <si>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</si>
  <si>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</si>
  <si>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</si>
  <si>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</si>
  <si>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</si>
  <si>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</si>
  <si>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</si>
  <si>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</si>
  <si>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</si>
  <si>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</si>
  <si>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</si>
  <si>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</si>
  <si>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</si>
  <si>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</si>
  <si>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</si>
  <si>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</si>
  <si>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</si>
  <si>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</si>
  <si>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</si>
  <si>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</si>
  <si>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</si>
  <si>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</si>
  <si>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</si>
  <si>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</si>
  <si>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</si>
  <si>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</si>
  <si>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</si>
  <si>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</si>
  <si>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</si>
  <si>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</si>
  <si>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</si>
  <si>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</si>
  <si>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</si>
  <si>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</si>
  <si>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</si>
  <si>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</si>
  <si>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</si>
  <si>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</si>
  <si>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</si>
  <si>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</si>
  <si>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</si>
  <si>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</si>
  <si>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</si>
  <si>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</si>
  <si>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</si>
  <si>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</si>
  <si>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</si>
  <si>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</si>
  <si>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</si>
  <si>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</si>
  <si>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</si>
  <si>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</si>
  <si>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</si>
  <si>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</si>
  <si>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</si>
  <si>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</si>
  <si>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</si>
  <si>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</si>
  <si>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</si>
  <si>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</si>
  <si>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</si>
  <si>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</si>
  <si>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</si>
  <si>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</si>
  <si>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</si>
  <si>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</si>
  <si>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</si>
  <si>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</si>
  <si>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</si>
  <si>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</si>
  <si>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</si>
  <si>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</si>
  <si>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</si>
  <si>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</si>
  <si>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</si>
  <si>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</si>
  <si>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</si>
  <si>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</si>
  <si>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</si>
  <si>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</si>
  <si>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</si>
  <si>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</si>
  <si>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</si>
  <si>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</si>
  <si>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</si>
  <si>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</si>
  <si>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</si>
  <si>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</si>
  <si>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</si>
  <si>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</si>
  <si>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</si>
  <si>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</si>
  <si>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</si>
  <si>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</si>
  <si>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</si>
  <si>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</si>
  <si>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</si>
  <si>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</si>
  <si>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</si>
  <si>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</si>
  <si>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</si>
  <si>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</si>
  <si>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</si>
  <si>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</si>
  <si>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</si>
  <si>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</si>
  <si>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</si>
  <si>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</si>
  <si>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</si>
  <si>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</si>
  <si>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</si>
  <si>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</si>
  <si>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</si>
  <si>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</si>
  <si>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</si>
  <si>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</si>
  <si>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</si>
  <si>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</si>
  <si>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</si>
  <si>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</si>
  <si>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</si>
  <si>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</si>
  <si>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</si>
  <si>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</si>
  <si>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</si>
  <si>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</si>
  <si>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</si>
  <si>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</si>
  <si>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</si>
  <si>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</si>
  <si>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</si>
  <si>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</si>
  <si>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</si>
  <si>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</si>
  <si>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</si>
  <si>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</si>
  <si>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</si>
  <si>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</si>
  <si>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</si>
  <si>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</si>
  <si>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</si>
  <si>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</si>
  <si>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</si>
  <si>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</si>
  <si>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</si>
  <si>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</si>
  <si>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</si>
  <si>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</si>
  <si>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</si>
  <si>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</si>
  <si>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</si>
  <si>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</si>
  <si>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</si>
  <si>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</si>
  <si>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</si>
  <si>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</si>
  <si>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</si>
  <si>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</si>
  <si>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</si>
  <si>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</si>
  <si>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</si>
  <si>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</si>
  <si>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</si>
  <si>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</si>
  <si>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</si>
  <si>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</si>
  <si>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</si>
  <si>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</si>
  <si>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</si>
  <si>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</si>
  <si>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</si>
  <si>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</si>
  <si>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</si>
  <si>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</si>
  <si>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</si>
  <si>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</si>
  <si>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</si>
  <si>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</si>
  <si>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</si>
  <si>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</si>
  <si>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</si>
  <si>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</si>
  <si>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</si>
  <si>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</si>
  <si>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</si>
  <si>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</si>
  <si>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</si>
  <si>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</si>
  <si>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</si>
  <si>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</si>
  <si>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</si>
  <si>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</si>
  <si>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</si>
  <si>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</si>
  <si>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</si>
  <si>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</si>
  <si>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</si>
  <si>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</si>
  <si>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</si>
  <si>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</si>
  <si>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</si>
  <si>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</si>
  <si>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</si>
  <si>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</si>
  <si>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</si>
  <si>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</si>
  <si>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</si>
  <si>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</si>
  <si>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</si>
  <si>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</si>
  <si>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</si>
  <si>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</si>
  <si>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</si>
  <si>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</si>
  <si>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</si>
  <si>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</si>
  <si>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</si>
  <si>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</si>
  <si>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</si>
  <si>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</si>
  <si>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</si>
  <si>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</si>
  <si>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</si>
  <si>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</si>
  <si>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</si>
  <si>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</si>
  <si>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</si>
  <si>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</si>
  <si>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</si>
  <si>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</si>
  <si>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</si>
  <si>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</si>
  <si>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</si>
  <si>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</si>
  <si>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</si>
  <si>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</si>
  <si>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</si>
  <si>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</si>
  <si>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</si>
  <si>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</si>
  <si>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</si>
  <si>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</si>
  <si>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</si>
  <si>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</si>
  <si>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</si>
  <si>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</si>
  <si>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</si>
  <si>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</si>
  <si>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</si>
  <si>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</si>
  <si>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</si>
  <si>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</si>
  <si>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</si>
  <si>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</si>
  <si>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</si>
  <si>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</si>
  <si>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</si>
  <si>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</si>
  <si>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</si>
  <si>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</si>
  <si>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</si>
  <si>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</si>
  <si>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</si>
  <si>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</si>
  <si>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</si>
  <si>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</si>
  <si>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</si>
  <si>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</si>
  <si>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</si>
  <si>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</si>
  <si>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</si>
  <si>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</si>
  <si>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</si>
  <si>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</si>
  <si>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</si>
  <si>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</si>
  <si>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</si>
  <si>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</si>
  <si>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</si>
  <si>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</si>
  <si>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</si>
  <si>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</si>
  <si>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</si>
  <si>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</si>
  <si>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</si>
  <si>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</si>
  <si>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</si>
  <si>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</si>
  <si>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</si>
  <si>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</si>
  <si>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</si>
  <si>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</si>
  <si>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</si>
  <si>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</si>
  <si>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</si>
  <si>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</si>
  <si>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</si>
  <si>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</si>
  <si>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</si>
  <si>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</si>
  <si>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</si>
  <si>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</si>
  <si>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</si>
  <si>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</si>
  <si>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</si>
  <si>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</si>
  <si>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</si>
  <si>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</si>
  <si>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</si>
  <si>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</si>
  <si>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</si>
  <si>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</si>
  <si>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</si>
  <si>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</si>
  <si>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</si>
  <si>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</si>
  <si>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</si>
  <si>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</si>
  <si>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</si>
  <si>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</si>
  <si>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</si>
  <si>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</si>
  <si>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</si>
  <si>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</si>
  <si>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</si>
  <si>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</si>
  <si>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</si>
  <si>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</si>
  <si>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</si>
  <si>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</si>
  <si>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</si>
  <si>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</si>
  <si>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</si>
  <si>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</si>
  <si>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</si>
  <si>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</si>
  <si>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</si>
  <si>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</si>
  <si>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</si>
  <si>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</si>
  <si>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</si>
  <si>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</si>
  <si>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</si>
  <si>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</si>
  <si>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</si>
  <si>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</si>
  <si>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</si>
  <si>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</si>
  <si>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</si>
  <si>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</si>
  <si>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</si>
  <si>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</si>
  <si>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</si>
  <si>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</si>
  <si>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</si>
  <si>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</si>
  <si>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</si>
  <si>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</si>
  <si>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</si>
  <si>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</si>
  <si>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</si>
  <si>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</si>
  <si>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</si>
  <si>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</si>
  <si>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</si>
  <si>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</si>
  <si>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</si>
  <si>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</si>
  <si>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</si>
  <si>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</si>
  <si>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</si>
  <si>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</si>
  <si>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</si>
  <si>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</si>
  <si>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</si>
  <si>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</si>
  <si>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</si>
  <si>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</si>
  <si>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</si>
  <si>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</si>
  <si>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</si>
  <si>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</si>
  <si>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</si>
  <si>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</si>
  <si>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</si>
  <si>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</si>
  <si>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</si>
  <si>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</si>
  <si>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</si>
  <si>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</si>
  <si>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</si>
  <si>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</si>
  <si>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</si>
  <si>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</si>
  <si>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</si>
  <si>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</si>
  <si>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</si>
  <si>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</si>
  <si>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</si>
  <si>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</si>
  <si>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</si>
  <si>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</si>
  <si>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</si>
  <si>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</si>
  <si>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</si>
  <si>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</si>
  <si>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</si>
  <si>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</si>
  <si>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</si>
  <si>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</si>
  <si>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</si>
  <si>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</si>
  <si>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</si>
  <si>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</si>
  <si>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</si>
  <si>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</si>
  <si>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</si>
  <si>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</si>
  <si>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</si>
  <si>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</si>
  <si>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</si>
  <si>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</si>
  <si>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</si>
  <si>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</si>
  <si>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</si>
  <si>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</si>
  <si>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</si>
  <si>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</si>
  <si>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</si>
  <si>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</si>
  <si>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</si>
  <si>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</si>
  <si>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</si>
  <si>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</si>
  <si>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</si>
  <si>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</si>
  <si>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</si>
  <si>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</si>
  <si>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</si>
  <si>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</si>
  <si>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</si>
  <si>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</si>
  <si>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</si>
  <si>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</si>
  <si>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</si>
  <si>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</si>
  <si>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</si>
  <si>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</si>
  <si>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</si>
  <si>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</si>
  <si>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</si>
  <si>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</si>
  <si>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</si>
  <si>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</si>
  <si>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</si>
  <si>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</si>
  <si>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</si>
  <si>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</si>
  <si>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</si>
  <si>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</si>
  <si>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</si>
  <si>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</si>
  <si>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</si>
  <si>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</si>
  <si>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</si>
  <si>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</si>
  <si>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</si>
  <si>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</si>
  <si>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</si>
  <si>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</si>
  <si>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</si>
  <si>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</si>
  <si>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</si>
  <si>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</si>
  <si>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</si>
  <si>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</si>
  <si>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</si>
  <si>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</si>
  <si>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</si>
  <si>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</si>
  <si>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</si>
  <si>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</si>
  <si>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</si>
  <si>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</si>
  <si>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</si>
  <si>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</si>
  <si>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</si>
  <si>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</si>
  <si>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</si>
  <si>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</si>
  <si>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</si>
  <si>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</si>
  <si>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</si>
  <si>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</si>
  <si>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</si>
  <si>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</si>
  <si>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</si>
  <si>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</si>
  <si>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</si>
  <si>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</si>
  <si>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</si>
  <si>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</si>
  <si>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</si>
  <si>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</si>
  <si>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</si>
  <si>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</si>
  <si>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</si>
  <si>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</si>
  <si>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</si>
  <si>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</si>
  <si>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</si>
  <si>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</si>
  <si>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</si>
  <si>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</si>
  <si>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</si>
  <si>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</si>
  <si>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</si>
  <si>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</si>
  <si>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</si>
  <si>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</si>
  <si>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</si>
  <si>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</si>
  <si>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</si>
  <si>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</si>
  <si>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</si>
  <si>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</si>
  <si>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</si>
  <si>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</si>
  <si>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</si>
  <si>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</si>
  <si>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</si>
  <si>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</si>
  <si>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</si>
  <si>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</si>
  <si>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</si>
  <si>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</si>
  <si>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</si>
  <si>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</si>
  <si>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</si>
  <si>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</si>
  <si>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</si>
  <si>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</si>
  <si>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</si>
  <si>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</si>
  <si>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</si>
  <si>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</si>
  <si>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</si>
  <si>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</si>
  <si>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</si>
  <si>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</si>
  <si>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</si>
  <si>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</si>
  <si>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</si>
  <si>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</si>
  <si>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</si>
  <si>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</si>
  <si>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</si>
  <si>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</si>
  <si>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</si>
  <si>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</si>
  <si>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</si>
  <si>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</si>
  <si>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</si>
  <si>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</si>
  <si>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</si>
  <si>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</si>
  <si>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</si>
  <si>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</si>
  <si>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</si>
  <si>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</si>
  <si>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</si>
  <si>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</si>
  <si>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</si>
  <si>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</si>
  <si>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</si>
  <si>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</si>
  <si>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</si>
  <si>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</si>
  <si>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</si>
  <si>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</si>
  <si>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</si>
  <si>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</si>
  <si>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</si>
  <si>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</si>
  <si>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</si>
  <si>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</si>
  <si>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</si>
  <si>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</si>
  <si>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</si>
  <si>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</si>
  <si>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</si>
  <si>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</si>
  <si>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</si>
  <si>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</si>
  <si>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</si>
  <si>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</si>
  <si>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</si>
  <si>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</si>
  <si>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</si>
  <si>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</si>
  <si>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</si>
  <si>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</si>
  <si>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</si>
  <si>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</si>
  <si>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</si>
  <si>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</si>
  <si>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</si>
  <si>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</si>
  <si>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</si>
  <si>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</si>
  <si>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</si>
  <si>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</si>
  <si>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</si>
  <si>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</si>
  <si>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</si>
  <si>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</si>
  <si>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</si>
  <si>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</si>
  <si>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</si>
  <si>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</si>
  <si>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</si>
  <si>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</si>
  <si>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</si>
  <si>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</si>
  <si>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</si>
  <si>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</si>
  <si>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</si>
  <si>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</si>
  <si>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</si>
  <si>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</si>
  <si>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</si>
  <si>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</si>
  <si>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</si>
  <si>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</si>
  <si>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</si>
  <si>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</si>
  <si>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</si>
  <si>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</si>
  <si>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</si>
  <si>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</si>
  <si>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</si>
  <si>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</si>
  <si>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</si>
  <si>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</si>
  <si>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</si>
  <si>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</si>
  <si>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</si>
  <si>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</si>
  <si>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</si>
  <si>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</si>
  <si>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</si>
  <si>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</si>
  <si>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</si>
  <si>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</si>
  <si>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</si>
  <si>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</si>
  <si>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</si>
  <si>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</si>
  <si>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</si>
  <si>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</si>
  <si>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</si>
  <si>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</si>
  <si>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</si>
  <si>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</si>
  <si>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</si>
  <si>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</si>
  <si>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</si>
  <si>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</si>
  <si>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</si>
  <si>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</si>
  <si>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</si>
  <si>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</si>
  <si>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</si>
  <si>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</si>
  <si>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</si>
  <si>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</si>
  <si>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</si>
  <si>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</si>
  <si>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</si>
  <si>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</si>
  <si>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</si>
  <si>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</si>
  <si>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</si>
  <si>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</si>
  <si>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</si>
  <si>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</si>
  <si>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</si>
  <si>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</si>
  <si>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</si>
  <si>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</si>
  <si>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</si>
  <si>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</si>
  <si>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</si>
  <si>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</si>
  <si>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</si>
  <si>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</si>
  <si>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</si>
  <si>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</si>
  <si>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</si>
  <si>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</si>
  <si>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</si>
  <si>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</si>
  <si>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</si>
  <si>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</si>
  <si>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</si>
  <si>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</si>
  <si>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</si>
  <si>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</si>
  <si>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</si>
  <si>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</si>
  <si>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</si>
  <si>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</si>
  <si>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</si>
  <si>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</si>
  <si>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</si>
  <si>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</si>
  <si>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</si>
  <si>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</si>
  <si>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</si>
  <si>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</si>
  <si>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</si>
  <si>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</si>
  <si>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</si>
  <si>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</si>
  <si>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</si>
  <si>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</si>
  <si>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</si>
  <si>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</si>
  <si>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</si>
  <si>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</si>
  <si>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</si>
  <si>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</si>
  <si>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</si>
  <si>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</si>
  <si>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</si>
  <si>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</si>
  <si>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</si>
  <si>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</si>
  <si>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</si>
  <si>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</si>
  <si>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</si>
  <si>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</si>
  <si>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</si>
  <si>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</si>
  <si>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</si>
  <si>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</si>
  <si>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</si>
  <si>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</si>
  <si>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</si>
  <si>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</si>
  <si>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</si>
  <si>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</si>
  <si>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</si>
  <si>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</si>
  <si>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</si>
  <si>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</si>
  <si>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</si>
  <si>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</si>
  <si>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</si>
  <si>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</si>
  <si>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</si>
  <si>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</si>
  <si>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</si>
  <si>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</si>
  <si>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</si>
  <si>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</si>
  <si>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</si>
  <si>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</si>
  <si>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</si>
  <si>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</si>
  <si>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</si>
  <si>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</si>
  <si>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</si>
  <si>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</si>
  <si>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</si>
  <si>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</si>
  <si>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</si>
  <si>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</si>
  <si>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</si>
  <si>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</si>
  <si>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</si>
  <si>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</si>
  <si>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</si>
  <si>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</si>
  <si>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</si>
  <si>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</si>
  <si>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</si>
  <si>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</si>
  <si>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</si>
  <si>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</si>
  <si>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</si>
  <si>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</si>
  <si>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</si>
  <si>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</si>
  <si>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</si>
  <si>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</si>
  <si>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</si>
  <si>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</si>
  <si>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</si>
  <si>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</si>
  <si>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</si>
  <si>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</si>
  <si>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</si>
  <si>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</si>
  <si>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</si>
  <si>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</si>
  <si>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</si>
  <si>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</si>
  <si>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</si>
  <si>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</si>
  <si>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</si>
  <si>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</si>
  <si>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</si>
  <si>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</si>
  <si>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</si>
  <si>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</si>
  <si>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</si>
  <si>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</si>
  <si>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</si>
  <si>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</si>
  <si>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</si>
  <si>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</si>
  <si>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</si>
  <si>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</si>
  <si>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</si>
  <si>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</si>
  <si>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</si>
  <si>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</si>
  <si>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</si>
  <si>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</si>
  <si>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</si>
  <si>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</si>
  <si>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</si>
  <si>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</si>
  <si>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</si>
  <si>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</si>
  <si>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</si>
  <si>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</si>
  <si>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</si>
  <si>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</si>
  <si>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</si>
  <si>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</si>
  <si>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</si>
  <si>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</si>
  <si>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</si>
  <si>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</si>
  <si>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</si>
  <si>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</si>
  <si>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</si>
  <si>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</si>
  <si>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</si>
  <si>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</si>
  <si>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</si>
  <si>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</si>
  <si>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</si>
  <si>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</si>
  <si>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</si>
  <si>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</si>
  <si>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</si>
  <si>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</si>
  <si>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</si>
  <si>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</si>
  <si>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</si>
  <si>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</si>
  <si>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</si>
  <si>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</si>
  <si>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</si>
  <si>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</si>
  <si>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</si>
  <si>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</si>
  <si>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</si>
  <si>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</si>
  <si>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</si>
  <si>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</si>
  <si>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</si>
  <si>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</si>
  <si>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</si>
  <si>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</si>
  <si>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</si>
  <si>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</si>
  <si>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</si>
  <si>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</si>
  <si>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</si>
  <si>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</si>
  <si>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</si>
  <si>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</si>
  <si>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</si>
  <si>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</si>
  <si>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</si>
  <si>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</si>
  <si>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</si>
  <si>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</si>
  <si>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</si>
  <si>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</si>
  <si>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</si>
  <si>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</si>
  <si>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</si>
  <si>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</si>
  <si>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</si>
  <si>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</si>
  <si>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</si>
  <si>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</si>
  <si>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</si>
  <si>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</si>
  <si>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</si>
  <si>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</si>
  <si>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</si>
  <si>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</si>
  <si>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</si>
  <si>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</si>
  <si>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</si>
  <si>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</si>
  <si>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</si>
  <si>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</si>
  <si>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</si>
  <si>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</si>
  <si>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</si>
  <si>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</si>
  <si>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</si>
  <si>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</si>
  <si>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</si>
  <si>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</si>
  <si>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</si>
  <si>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</si>
  <si>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</si>
  <si>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</si>
  <si>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</si>
  <si>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</si>
  <si>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</si>
  <si>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</si>
  <si>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</si>
  <si>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</si>
  <si>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</si>
  <si>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</si>
  <si>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</si>
  <si>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</si>
  <si>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</si>
  <si>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</si>
  <si>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</si>
  <si>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</si>
  <si>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</si>
  <si>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</si>
  <si>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</si>
  <si>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</si>
  <si>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</si>
  <si>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</si>
  <si>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</si>
  <si>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</si>
  <si>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</si>
  <si>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</si>
  <si>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</si>
  <si>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</si>
  <si>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</si>
  <si>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</si>
  <si>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</si>
  <si>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</si>
  <si>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</si>
  <si>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</si>
  <si>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</si>
  <si>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</si>
  <si>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</si>
  <si>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</si>
  <si>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</si>
  <si>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</si>
  <si>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</si>
  <si>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</si>
  <si>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</si>
  <si>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</si>
  <si>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</si>
  <si>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</si>
  <si>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</si>
  <si>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</si>
  <si>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</si>
  <si>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</si>
  <si>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</si>
  <si>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</si>
  <si>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</si>
  <si>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</si>
  <si>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</si>
  <si>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</si>
  <si>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</si>
  <si>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</si>
  <si>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</si>
  <si>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</si>
  <si>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</si>
  <si>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</si>
  <si>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</si>
  <si>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</si>
  <si>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</si>
  <si>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</si>
  <si>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</si>
  <si>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</si>
  <si>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</si>
  <si>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</si>
  <si>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</si>
  <si>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</si>
  <si>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</si>
  <si>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</si>
  <si>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</si>
  <si>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</si>
  <si>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</si>
  <si>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</si>
  <si>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</si>
  <si>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</si>
  <si>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</si>
  <si>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</si>
  <si>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</si>
  <si>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</si>
  <si>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</si>
  <si>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</si>
  <si>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</si>
  <si>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</si>
  <si>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</si>
  <si>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</si>
  <si>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</si>
  <si>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</si>
  <si>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</si>
  <si>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</si>
  <si>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</si>
  <si>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</si>
  <si>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</si>
  <si>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</si>
  <si>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</si>
  <si>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</si>
  <si>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</si>
  <si>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</si>
  <si>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</si>
  <si>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</si>
  <si>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</si>
  <si>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</si>
  <si>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</si>
  <si>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</si>
  <si>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</si>
  <si>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</si>
  <si>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</si>
  <si>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</si>
  <si>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</si>
  <si>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</si>
  <si>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</si>
  <si>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</si>
  <si>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</si>
  <si>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</si>
  <si>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</si>
  <si>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</si>
  <si>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</si>
  <si>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</si>
  <si>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</si>
  <si>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</si>
  <si>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</si>
  <si>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</si>
  <si>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</si>
  <si>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</si>
  <si>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</si>
  <si>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</si>
  <si>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</si>
  <si>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</si>
  <si>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</si>
  <si>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</si>
  <si>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</si>
  <si>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</si>
  <si>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</si>
  <si>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</si>
  <si>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</si>
  <si>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</si>
  <si>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</si>
  <si>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</si>
  <si>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</si>
  <si>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</si>
  <si>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</si>
  <si>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</si>
  <si>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</si>
  <si>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</si>
  <si>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</si>
  <si>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</si>
  <si>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</si>
  <si>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</si>
  <si>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</si>
  <si>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</si>
  <si>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</si>
  <si>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</si>
  <si>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</si>
  <si>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</si>
  <si>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</si>
  <si>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</si>
  <si>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</si>
  <si>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</si>
  <si>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</si>
  <si>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</si>
  <si>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</si>
  <si>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</si>
  <si>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</si>
  <si>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</si>
  <si>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</si>
  <si>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</si>
  <si>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</si>
  <si>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</si>
  <si>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</si>
  <si>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</si>
  <si>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</si>
  <si>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</si>
  <si>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</si>
  <si>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</si>
  <si>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</si>
  <si>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</si>
  <si>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</si>
  <si>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</si>
  <si>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</si>
  <si>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</si>
  <si>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</si>
  <si>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</si>
  <si>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</si>
  <si>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</si>
  <si>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</si>
  <si>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</si>
  <si>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</si>
  <si>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</si>
  <si>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</si>
  <si>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</si>
  <si>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</si>
  <si>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</si>
  <si>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</si>
  <si>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</si>
  <si>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</si>
  <si>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</si>
  <si>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</si>
  <si>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</si>
  <si>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</si>
  <si>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</si>
  <si>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</si>
  <si>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</si>
  <si>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</si>
  <si>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</si>
  <si>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</si>
  <si>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</si>
  <si>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</si>
  <si>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</si>
  <si>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</si>
  <si>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</si>
  <si>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</si>
  <si>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</si>
  <si>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</si>
  <si>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</si>
  <si>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</si>
  <si>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</si>
  <si>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</si>
  <si>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</si>
  <si>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</si>
  <si>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</si>
  <si>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</si>
  <si>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</si>
  <si>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</si>
  <si>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</si>
  <si>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</si>
  <si>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</si>
  <si>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</si>
  <si>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</si>
  <si>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</si>
  <si>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</si>
  <si>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</si>
  <si>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</si>
  <si>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</si>
  <si>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</si>
  <si>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</si>
  <si>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</si>
  <si>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</si>
  <si>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</si>
  <si>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</si>
  <si>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</si>
  <si>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</si>
  <si>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</si>
  <si>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</si>
  <si>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</si>
  <si>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</si>
  <si>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</si>
  <si>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</si>
  <si>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</si>
  <si>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</si>
  <si>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</si>
  <si>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</si>
  <si>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</si>
  <si>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</si>
  <si>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</si>
  <si>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</si>
  <si>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</si>
  <si>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</si>
  <si>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</si>
  <si>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</si>
  <si>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</si>
  <si>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</si>
  <si>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</si>
  <si>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</si>
  <si>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</si>
  <si>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</si>
  <si>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</si>
  <si>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</si>
  <si>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</si>
  <si>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</si>
  <si>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</si>
  <si>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</si>
  <si>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</si>
  <si>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</si>
  <si>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</si>
  <si>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</si>
  <si>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</si>
  <si>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</si>
  <si>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</si>
  <si>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</si>
  <si>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</si>
  <si>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</si>
  <si>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</si>
  <si>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</si>
  <si>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</si>
  <si>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</si>
  <si>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</si>
  <si>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</si>
  <si>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</si>
  <si>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</si>
  <si>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</si>
  <si>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</si>
  <si>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</si>
  <si>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</si>
  <si>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</si>
  <si>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</si>
  <si>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</si>
  <si>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</si>
  <si>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</si>
  <si>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</si>
  <si>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</si>
  <si>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</si>
  <si>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</si>
  <si>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</si>
  <si>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</si>
  <si>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</si>
  <si>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</si>
  <si>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</si>
  <si>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</si>
  <si>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</si>
  <si>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</si>
  <si>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</si>
  <si>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</si>
  <si>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</si>
  <si>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</si>
  <si>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</si>
  <si>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</si>
  <si>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</si>
  <si>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</si>
  <si>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</si>
  <si>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</si>
  <si>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</si>
  <si>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</si>
  <si>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</si>
  <si>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</si>
  <si>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</si>
  <si>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</si>
  <si>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</si>
  <si>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</si>
  <si>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</si>
  <si>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</si>
  <si>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</si>
  <si>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</si>
  <si>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</si>
  <si>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</si>
  <si>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</si>
  <si>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</si>
  <si>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</si>
  <si>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</si>
  <si>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</si>
  <si>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</si>
  <si>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</si>
  <si>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</si>
  <si>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</si>
  <si>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</si>
  <si>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</si>
  <si>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</si>
  <si>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</si>
  <si>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</si>
  <si>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</si>
  <si>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</si>
  <si>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</si>
  <si>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</si>
  <si>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</si>
  <si>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</si>
  <si>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</si>
  <si>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</si>
  <si>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</si>
  <si>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</si>
  <si>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</si>
  <si>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</si>
  <si>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</si>
  <si>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</si>
  <si>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</si>
  <si>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</si>
  <si>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</si>
  <si>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</si>
  <si>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</si>
  <si>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</si>
  <si>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</si>
  <si>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</si>
  <si>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</si>
  <si>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</si>
  <si>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</si>
  <si>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</si>
  <si>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</si>
  <si>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</si>
  <si>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</si>
  <si>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</si>
  <si>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</si>
  <si>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</si>
  <si>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</si>
  <si>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</si>
  <si>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</si>
  <si>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</si>
  <si>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</si>
  <si>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</si>
  <si>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</si>
  <si>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</si>
  <si>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</si>
  <si>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</si>
  <si>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</si>
  <si>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</si>
  <si>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</si>
  <si>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</si>
  <si>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</si>
  <si>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</si>
  <si>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</si>
  <si>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</si>
  <si>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</si>
  <si>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</si>
  <si>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</si>
  <si>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</si>
  <si>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</si>
  <si>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</si>
  <si>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</si>
  <si>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</si>
  <si>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</si>
  <si>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</si>
  <si>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</si>
  <si>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</si>
  <si>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</si>
  <si>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</si>
  <si>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</si>
  <si>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</si>
  <si>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</si>
  <si>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</si>
  <si>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</si>
  <si>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</si>
  <si>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</si>
  <si>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</si>
  <si>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</si>
  <si>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</si>
  <si>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</si>
  <si>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</si>
  <si>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</si>
  <si>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</si>
  <si>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</si>
  <si>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</si>
  <si>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</si>
  <si>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</si>
  <si>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</si>
  <si>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</si>
  <si>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</si>
  <si>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</si>
  <si>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</si>
  <si>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</si>
  <si>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</si>
  <si>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</si>
  <si>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</si>
  <si>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</si>
  <si>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</si>
  <si>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</si>
  <si>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</si>
  <si>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</si>
  <si>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</si>
  <si>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</si>
  <si>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</si>
  <si>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</si>
  <si>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</si>
  <si>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</si>
  <si>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</si>
  <si>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</si>
  <si>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</si>
  <si>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</si>
  <si>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</si>
  <si>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</si>
  <si>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</si>
  <si>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</si>
  <si>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</si>
  <si>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</si>
  <si>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</si>
  <si>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</si>
  <si>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</si>
  <si>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</si>
  <si>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</si>
  <si>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</si>
  <si>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</si>
  <si>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</si>
  <si>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</si>
  <si>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</si>
  <si>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</si>
  <si>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</si>
  <si>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</si>
  <si>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</si>
  <si>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</si>
  <si>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</si>
  <si>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</si>
  <si>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</si>
  <si>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</si>
  <si>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</si>
  <si>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</si>
  <si>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</si>
  <si>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</si>
  <si>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</si>
  <si>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</si>
  <si>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</si>
  <si>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</si>
  <si>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</si>
  <si>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</si>
  <si>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</si>
  <si>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</si>
  <si>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</si>
  <si>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</si>
  <si>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</si>
  <si>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</si>
  <si>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</si>
  <si>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</si>
  <si>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</si>
  <si>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</si>
  <si>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</si>
  <si>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</si>
  <si>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</si>
  <si>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</si>
  <si>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</si>
  <si>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</si>
  <si>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</si>
  <si>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</si>
  <si>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</si>
  <si>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</si>
  <si>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</si>
  <si>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</si>
  <si>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</si>
  <si>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</si>
  <si>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</si>
  <si>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</si>
  <si>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</si>
  <si>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</si>
  <si>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</si>
  <si>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</si>
  <si>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</si>
  <si>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</si>
  <si>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</si>
  <si>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</si>
  <si>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</si>
  <si>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</si>
  <si>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</si>
  <si>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</si>
  <si>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</si>
  <si>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</si>
  <si>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</si>
  <si>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</si>
  <si>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</si>
  <si>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</si>
  <si>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</si>
  <si>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</si>
  <si>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</si>
  <si>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</si>
  <si>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</si>
  <si>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</si>
  <si>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</si>
  <si>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</si>
  <si>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</si>
  <si>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</si>
  <si>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</si>
  <si>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</si>
  <si>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</si>
  <si>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</si>
  <si>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</si>
  <si>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</si>
  <si>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</si>
  <si>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</si>
  <si>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</si>
  <si>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</si>
  <si>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</si>
  <si>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</si>
  <si>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</si>
  <si>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</si>
  <si>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</si>
  <si>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</si>
  <si>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</si>
  <si>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</si>
  <si>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</si>
  <si>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</si>
  <si>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</si>
  <si>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</si>
  <si>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</si>
  <si>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</si>
  <si>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</si>
  <si>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</si>
  <si>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</si>
  <si>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</si>
  <si>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</si>
  <si>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</si>
  <si>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</si>
  <si>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</si>
  <si>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</si>
  <si>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</si>
  <si>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</si>
  <si>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</si>
  <si>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</si>
  <si>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</si>
  <si>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</si>
  <si>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</si>
  <si>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</si>
  <si>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</si>
  <si>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</si>
  <si>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</si>
  <si>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</si>
  <si>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</si>
  <si>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</si>
  <si>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</si>
  <si>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</si>
  <si>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</si>
  <si>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</si>
  <si>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</si>
  <si>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</si>
  <si>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</si>
  <si>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</si>
  <si>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</si>
  <si>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</si>
  <si>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</si>
  <si>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</si>
  <si>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</si>
  <si>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</si>
  <si>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</si>
  <si>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</si>
  <si>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</si>
  <si>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</si>
  <si>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</si>
  <si>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</si>
  <si>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</si>
  <si>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</si>
  <si>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</si>
  <si>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</si>
  <si>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</si>
  <si>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</si>
  <si>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</si>
  <si>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</si>
  <si>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</si>
  <si>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</si>
  <si>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</si>
  <si>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</si>
  <si>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</si>
  <si>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</si>
  <si>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</si>
  <si>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</si>
  <si>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</si>
  <si>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</si>
  <si>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</si>
  <si>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</si>
  <si>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</si>
  <si>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</si>
  <si>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</si>
  <si>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</si>
  <si>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</si>
  <si>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</si>
  <si>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</si>
  <si>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</si>
  <si>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</si>
  <si>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</si>
  <si>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</si>
  <si>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</si>
  <si>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</si>
  <si>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</si>
  <si>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</si>
  <si>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</si>
  <si>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</si>
  <si>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</si>
  <si>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</si>
  <si>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</si>
  <si>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</si>
  <si>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</si>
  <si>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</si>
  <si>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</si>
  <si>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</si>
  <si>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</si>
  <si>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</si>
  <si>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</si>
  <si>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</si>
  <si>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</si>
  <si>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</si>
  <si>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</si>
  <si>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</si>
  <si>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</si>
  <si>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</si>
  <si>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</si>
  <si>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</si>
  <si>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</si>
  <si>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</si>
  <si>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</si>
  <si>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</si>
  <si>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</si>
  <si>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</si>
  <si>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</si>
  <si>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</si>
  <si>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</si>
  <si>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</si>
  <si>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</si>
  <si>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</si>
  <si>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</si>
  <si>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</si>
  <si>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</si>
  <si>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</si>
  <si>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</si>
  <si>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</si>
  <si>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</si>
  <si>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</si>
  <si>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</si>
  <si>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</si>
  <si>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</si>
  <si>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</si>
  <si>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</si>
  <si>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</si>
  <si>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</si>
  <si>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</si>
  <si>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</si>
  <si>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</si>
  <si>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</si>
  <si>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</si>
  <si>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</si>
  <si>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</si>
  <si>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</si>
  <si>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</si>
  <si>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</si>
  <si>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</si>
  <si>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</si>
  <si>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</si>
  <si>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</si>
  <si>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</si>
  <si>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</si>
  <si>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</si>
  <si>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</si>
  <si>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</si>
  <si>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</si>
  <si>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</si>
  <si>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</si>
  <si>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</si>
  <si>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</si>
  <si>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</si>
  <si>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</si>
  <si>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</si>
  <si>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</si>
  <si>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</si>
  <si>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</si>
  <si>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</si>
  <si>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</si>
  <si>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</si>
  <si>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</si>
  <si>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</si>
  <si>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</si>
  <si>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</si>
  <si>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</si>
  <si>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</si>
  <si>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</si>
  <si>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</si>
  <si>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</si>
  <si>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</si>
  <si>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</si>
  <si>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</si>
  <si>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</si>
  <si>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</si>
  <si>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</si>
  <si>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</si>
  <si>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</si>
  <si>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</si>
  <si>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</si>
  <si>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</si>
  <si>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</si>
  <si>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</si>
  <si>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</si>
  <si>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</si>
  <si>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</si>
  <si>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</si>
  <si>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</si>
  <si>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</si>
  <si>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</si>
  <si>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</si>
  <si>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</si>
  <si>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</si>
  <si>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</si>
  <si>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</si>
  <si>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</si>
  <si>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</si>
  <si>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</si>
  <si>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</si>
  <si>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</si>
  <si>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</si>
  <si>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</si>
  <si>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</si>
  <si>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</si>
  <si>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</si>
  <si>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</si>
  <si>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</si>
  <si>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</si>
  <si>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</si>
  <si>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</si>
  <si>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</si>
  <si>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</si>
  <si>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</si>
  <si>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</si>
  <si>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</si>
  <si>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</si>
  <si>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</si>
  <si>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</si>
  <si>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</si>
  <si>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</si>
  <si>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</si>
  <si>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</si>
  <si>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</si>
  <si>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</si>
  <si>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</si>
  <si>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</si>
  <si>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</si>
  <si>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</si>
  <si>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</si>
  <si>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</si>
  <si>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</si>
  <si>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</si>
  <si>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</si>
  <si>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</si>
  <si>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</si>
  <si>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</si>
  <si>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</si>
  <si>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</si>
  <si>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</si>
  <si>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</si>
  <si>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</si>
  <si>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</si>
  <si>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</si>
  <si>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</si>
  <si>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</si>
  <si>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</si>
  <si>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</si>
  <si>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</si>
  <si>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</si>
  <si>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</si>
  <si>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</si>
  <si>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</si>
  <si>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</si>
  <si>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</si>
  <si>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</si>
  <si>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</si>
  <si>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</si>
  <si>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</si>
  <si>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</si>
  <si>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</si>
  <si>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</si>
  <si>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</si>
  <si>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</si>
  <si>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</si>
  <si>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</si>
  <si>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</si>
  <si>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</si>
  <si>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</si>
  <si>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</si>
  <si>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</si>
  <si>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</si>
  <si>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</si>
  <si>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</si>
  <si>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</si>
  <si>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</si>
  <si>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</si>
  <si>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</si>
  <si>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</si>
  <si>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</si>
  <si>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</si>
  <si>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</si>
  <si>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</si>
  <si>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</si>
  <si>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</si>
  <si>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</si>
  <si>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</si>
  <si>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</si>
  <si>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</si>
  <si>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</si>
  <si>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</si>
  <si>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</si>
  <si>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</si>
  <si>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</si>
  <si>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</si>
  <si>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</si>
  <si>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</si>
  <si>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</si>
  <si>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</si>
  <si>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</si>
  <si>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</si>
  <si>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</si>
  <si>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</si>
  <si>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</si>
  <si>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</si>
  <si>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</si>
  <si>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</si>
  <si>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</si>
  <si>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</si>
  <si>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</si>
  <si>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</si>
  <si>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</si>
  <si>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</si>
  <si>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</si>
  <si>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</si>
  <si>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</si>
  <si>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</si>
  <si>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</si>
  <si>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</si>
  <si>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</si>
  <si>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</si>
  <si>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</si>
  <si>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</si>
  <si>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</si>
  <si>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</si>
  <si>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</si>
  <si>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</si>
  <si>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</si>
  <si>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</si>
  <si>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</si>
  <si>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</si>
  <si>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</si>
  <si>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</si>
  <si>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</si>
  <si>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</si>
  <si>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</si>
  <si>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</si>
  <si>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</si>
  <si>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</si>
  <si>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</si>
  <si>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</si>
  <si>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</si>
  <si>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</si>
  <si>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</si>
  <si>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</si>
  <si>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</si>
  <si>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</si>
  <si>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</si>
  <si>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</si>
  <si>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</si>
  <si>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</si>
  <si>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</si>
  <si>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</si>
  <si>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</si>
  <si>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</si>
  <si>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</si>
  <si>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</si>
  <si>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</si>
  <si>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</si>
  <si>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</si>
  <si>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</si>
  <si>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</si>
  <si>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</si>
  <si>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</si>
  <si>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</si>
  <si>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</si>
  <si>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</si>
  <si>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</si>
  <si>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</si>
  <si>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</si>
  <si>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</si>
  <si>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</si>
  <si>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</si>
  <si>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</si>
  <si>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</si>
  <si>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</si>
  <si>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</si>
  <si>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</si>
  <si>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</si>
  <si>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</si>
  <si>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</si>
  <si>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</si>
  <si>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</si>
  <si>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</si>
  <si>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</si>
  <si>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</si>
  <si>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</si>
  <si>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</si>
  <si>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</si>
  <si>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</si>
  <si>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</si>
  <si>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</si>
  <si>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</si>
  <si>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</si>
  <si>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</si>
  <si>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</si>
  <si>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</si>
  <si>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</si>
  <si>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</si>
  <si>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</si>
  <si>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</si>
  <si>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</si>
  <si>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</si>
  <si>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</si>
  <si>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</si>
  <si>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</si>
  <si>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</si>
  <si>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</si>
  <si>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</si>
  <si>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</si>
  <si>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</si>
  <si>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</si>
  <si>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</si>
  <si>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</si>
  <si>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</si>
  <si>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</si>
  <si>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</si>
  <si>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</si>
  <si>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</si>
  <si>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</si>
  <si>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</si>
  <si>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</si>
  <si>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</si>
  <si>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</si>
  <si>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</si>
  <si>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</si>
  <si>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</si>
  <si>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</si>
  <si>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</si>
  <si>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</si>
  <si>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</si>
  <si>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</si>
  <si>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</si>
  <si>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</si>
  <si>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</si>
  <si>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</si>
  <si>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</si>
  <si>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</si>
  <si>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</si>
  <si>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</si>
  <si>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</si>
  <si>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</si>
  <si>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</si>
  <si>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</si>
  <si>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</si>
  <si>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</si>
  <si>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</si>
  <si>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</si>
  <si>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</si>
  <si>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</si>
  <si>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</si>
  <si>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</si>
  <si>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</si>
  <si>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</si>
  <si>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</si>
  <si>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</si>
  <si>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</si>
  <si>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</si>
  <si>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</si>
  <si>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</si>
  <si>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</si>
  <si>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</si>
  <si>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</si>
  <si>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</si>
  <si>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</si>
  <si>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</si>
  <si>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</si>
  <si>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</si>
  <si>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</si>
  <si>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</si>
  <si>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</si>
  <si>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</si>
  <si>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</si>
  <si>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</si>
  <si>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</si>
  <si>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</si>
  <si>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</si>
  <si>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</si>
  <si>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</si>
  <si>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</si>
  <si>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</si>
  <si>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</si>
  <si>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</si>
  <si>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</si>
  <si>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</si>
  <si>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</si>
  <si>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</si>
  <si>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</si>
  <si>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</si>
  <si>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</si>
  <si>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</si>
  <si>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</si>
  <si>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</si>
  <si>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</si>
  <si>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</si>
  <si>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</si>
  <si>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</si>
  <si>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</si>
  <si>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</si>
  <si>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</si>
  <si>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</si>
  <si>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</si>
  <si>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</si>
  <si>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</si>
  <si>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</si>
  <si>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</si>
  <si>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</si>
  <si>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</si>
  <si>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</si>
  <si>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</si>
  <si>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</si>
  <si>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</si>
  <si>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</si>
  <si>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</si>
  <si>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</si>
  <si>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</si>
  <si>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</si>
  <si>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</si>
  <si>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</si>
  <si>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</si>
  <si>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</si>
  <si>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</si>
  <si>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</si>
  <si>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</si>
  <si>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</si>
  <si>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</si>
  <si>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</si>
  <si>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</si>
  <si>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</si>
  <si>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</si>
  <si>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</si>
  <si>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</si>
  <si>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</si>
  <si>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</si>
  <si>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</si>
  <si>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</si>
  <si>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</si>
  <si>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</si>
  <si>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</si>
  <si>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</si>
  <si>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</si>
  <si>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</si>
  <si>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</si>
  <si>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</si>
  <si>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</si>
  <si>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</si>
  <si>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</si>
  <si>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</si>
  <si>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</si>
  <si>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</si>
  <si>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</si>
  <si>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</si>
  <si>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</si>
  <si>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</si>
  <si>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</si>
  <si>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</si>
  <si>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</si>
  <si>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</si>
  <si>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</si>
  <si>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</si>
  <si>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</si>
  <si>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</si>
  <si>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</si>
  <si>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</si>
  <si>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</si>
  <si>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</si>
  <si>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</si>
  <si>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</si>
  <si>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</si>
  <si>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</si>
  <si>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</si>
  <si>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</si>
  <si>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</si>
  <si>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</si>
  <si>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</si>
  <si>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</si>
  <si>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</si>
  <si>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</si>
  <si>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</si>
  <si>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</si>
  <si>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</si>
  <si>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</si>
  <si>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</si>
  <si>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</si>
  <si>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</si>
  <si>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</si>
  <si>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</si>
  <si>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</si>
  <si>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</si>
  <si>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</si>
  <si>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</si>
  <si>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</si>
  <si>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</si>
  <si>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</si>
  <si>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</si>
  <si>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</si>
  <si>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</si>
  <si>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</si>
  <si>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</si>
  <si>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</si>
  <si>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</si>
  <si>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</si>
  <si>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</si>
  <si>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</si>
  <si>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</si>
  <si>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</si>
  <si>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</si>
  <si>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</si>
  <si>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</si>
  <si>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</si>
  <si>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</si>
  <si>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</si>
  <si>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</si>
  <si>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</si>
  <si>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</si>
  <si>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</si>
  <si>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</si>
  <si>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</si>
  <si>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</si>
  <si>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</si>
  <si>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</si>
  <si>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</si>
  <si>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</si>
  <si>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</si>
  <si>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</si>
  <si>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</si>
  <si>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</si>
  <si>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</si>
  <si>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</si>
  <si>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</si>
  <si>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</si>
  <si>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</si>
  <si>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</si>
  <si>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</si>
  <si>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</si>
  <si>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</si>
  <si>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</si>
  <si>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</si>
  <si>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</si>
  <si>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</si>
  <si>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</si>
  <si>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</si>
  <si>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</si>
  <si>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</si>
  <si>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</si>
  <si>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</si>
  <si>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</si>
  <si>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</si>
  <si>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</si>
  <si>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</si>
  <si>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</si>
  <si>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</si>
  <si>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</si>
  <si>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</si>
  <si>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</si>
  <si>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</si>
  <si>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</si>
  <si>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</si>
  <si>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</si>
  <si>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</si>
  <si>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</si>
  <si>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</si>
  <si>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</si>
  <si>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</si>
  <si>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</si>
  <si>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</si>
  <si>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</si>
  <si>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</si>
  <si>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</si>
  <si>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</si>
  <si>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</si>
  <si>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</si>
  <si>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</si>
  <si>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</si>
  <si>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</si>
  <si>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</si>
  <si>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</si>
  <si>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</si>
  <si>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</si>
  <si>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</si>
  <si>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</si>
  <si>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</si>
  <si>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</si>
  <si>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</si>
  <si>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</si>
  <si>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</si>
  <si>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</si>
  <si>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</si>
  <si>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</si>
  <si>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</si>
  <si>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</si>
  <si>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</si>
  <si>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</si>
  <si>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</si>
  <si>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</si>
  <si>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</si>
  <si>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</si>
  <si>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</si>
  <si>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</si>
  <si>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</si>
  <si>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</si>
  <si>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</si>
  <si>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</si>
  <si>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</si>
  <si>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</si>
  <si>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</si>
  <si>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</si>
  <si>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</si>
  <si>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</si>
  <si>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</si>
  <si>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</si>
  <si>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</si>
  <si>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</si>
  <si>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</si>
  <si>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</si>
  <si>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</si>
  <si>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</si>
  <si>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</si>
  <si>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</si>
  <si>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</si>
  <si>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</si>
  <si>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</si>
  <si>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</si>
  <si>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</si>
  <si>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</si>
  <si>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</si>
  <si>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</si>
  <si>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</si>
  <si>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</si>
  <si>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</si>
  <si>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</si>
  <si>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</si>
  <si>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</si>
  <si>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</si>
  <si>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</si>
  <si>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</si>
  <si>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</si>
  <si>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</si>
  <si>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</si>
  <si>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</si>
  <si>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</si>
  <si>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</si>
  <si>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</si>
  <si>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</si>
  <si>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</si>
  <si>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</si>
  <si>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</si>
  <si>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</si>
  <si>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</si>
  <si>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</si>
  <si>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</si>
  <si>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</si>
  <si>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</si>
  <si>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</si>
  <si>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</si>
  <si>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</si>
  <si>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</si>
  <si>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</si>
  <si>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</si>
  <si>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</si>
  <si>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</si>
  <si>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</si>
  <si>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</si>
  <si>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</si>
  <si>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</si>
  <si>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</si>
  <si>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</si>
  <si>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</si>
  <si>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</si>
  <si>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</si>
  <si>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</si>
  <si>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</si>
  <si>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</si>
  <si>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</si>
  <si>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</si>
  <si>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</si>
  <si>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</si>
  <si>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</si>
  <si>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</si>
  <si>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</si>
  <si>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</si>
  <si>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</si>
  <si>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</si>
  <si>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</si>
  <si>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</si>
  <si>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</si>
  <si>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</si>
  <si>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</si>
  <si>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</si>
  <si>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</si>
  <si>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</si>
  <si>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</si>
  <si>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</si>
  <si>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</si>
  <si>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</si>
  <si>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</si>
  <si>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</si>
  <si>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</si>
  <si>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</si>
  <si>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</si>
  <si>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</si>
  <si>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</si>
  <si>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</si>
  <si>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</si>
  <si>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</si>
  <si>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</si>
  <si>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</si>
  <si>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</si>
  <si>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</si>
  <si>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</si>
  <si>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</si>
  <si>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</si>
  <si>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</si>
  <si>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</si>
  <si>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</si>
  <si>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</si>
  <si>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</si>
  <si>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</si>
  <si>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</si>
  <si>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</si>
  <si>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</si>
  <si>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</si>
  <si>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</si>
  <si>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</si>
  <si>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</si>
  <si>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</si>
  <si>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</si>
  <si>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</si>
  <si>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</si>
  <si>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</si>
  <si>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</si>
  <si>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</si>
  <si>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</si>
  <si>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</si>
  <si>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</si>
  <si>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</si>
  <si>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</si>
  <si>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</si>
  <si>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</si>
  <si>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</si>
  <si>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</si>
  <si>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</si>
  <si>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</si>
  <si>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</si>
  <si>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</si>
  <si>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</si>
  <si>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</si>
  <si>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</si>
  <si>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</si>
  <si>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</si>
  <si>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</si>
  <si>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</si>
  <si>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</si>
  <si>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</si>
  <si>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</si>
  <si>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</si>
  <si>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</si>
  <si>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</si>
  <si>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</si>
  <si>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</si>
  <si>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</si>
  <si>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</si>
  <si>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</si>
  <si>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</si>
  <si>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</si>
  <si>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</si>
  <si>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</si>
  <si>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</si>
  <si>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</si>
  <si>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</si>
  <si>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</si>
  <si>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</si>
  <si>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</si>
  <si>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</si>
  <si>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</si>
  <si>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</si>
  <si>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</si>
  <si>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</si>
  <si>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</si>
  <si>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</si>
  <si>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</si>
  <si>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</si>
  <si>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</si>
  <si>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</si>
  <si>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</si>
  <si>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</si>
  <si>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</si>
  <si>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</si>
  <si>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</si>
  <si>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</si>
  <si>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</si>
  <si>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</si>
  <si>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</si>
  <si>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</si>
  <si>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</si>
  <si>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</si>
  <si>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</si>
  <si>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</si>
  <si>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</si>
  <si>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</si>
  <si>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</si>
  <si>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</si>
  <si>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</si>
  <si>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</si>
  <si>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</si>
  <si>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</si>
  <si>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</si>
  <si>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</si>
  <si>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</si>
  <si>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</si>
  <si>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</si>
  <si>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</si>
  <si>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</si>
  <si>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</si>
  <si>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</si>
  <si>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</si>
  <si>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</si>
  <si>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</si>
  <si>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</si>
  <si>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</si>
  <si>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</si>
  <si>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</si>
  <si>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</si>
  <si>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</si>
  <si>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</si>
  <si>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</si>
  <si>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</si>
  <si>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</si>
  <si>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</si>
  <si>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</si>
  <si>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</si>
  <si>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</si>
  <si>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</si>
  <si>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</si>
  <si>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</si>
  <si>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</si>
  <si>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</si>
  <si>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</si>
  <si>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</si>
  <si>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</si>
  <si>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</si>
  <si>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</si>
  <si>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</si>
  <si>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</si>
  <si>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</si>
  <si>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</si>
  <si>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</si>
  <si>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</si>
  <si>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</si>
  <si>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</si>
  <si>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</si>
  <si>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</si>
  <si>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</si>
  <si>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</si>
  <si>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</si>
  <si>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</si>
  <si>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</si>
  <si>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</si>
  <si>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</si>
  <si>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</si>
  <si>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</si>
  <si>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</si>
  <si>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</si>
  <si>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</si>
  <si>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</si>
  <si>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</si>
  <si>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</si>
  <si>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</si>
  <si>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</si>
  <si>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</si>
  <si>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</si>
  <si>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</si>
  <si>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</si>
  <si>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</si>
  <si>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</si>
  <si>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</si>
  <si>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</si>
  <si>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</si>
  <si>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</si>
  <si>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</si>
  <si>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</si>
  <si>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</si>
  <si>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</si>
  <si>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</si>
  <si>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</si>
  <si>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</si>
  <si>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</si>
  <si>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</si>
  <si>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</si>
  <si>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</si>
  <si>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</si>
  <si>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</si>
  <si>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</si>
  <si>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</si>
  <si>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</si>
  <si>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</si>
  <si>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</si>
  <si>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</si>
  <si>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</si>
  <si>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</si>
  <si>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</si>
  <si>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</si>
  <si>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</si>
  <si>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</si>
  <si>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</si>
  <si>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</si>
  <si>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</si>
  <si>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</si>
  <si>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</si>
  <si>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</si>
  <si>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</si>
  <si>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</si>
  <si>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</si>
  <si>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</si>
  <si>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</si>
  <si>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</si>
  <si>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</si>
  <si>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</si>
  <si>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</si>
  <si>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</si>
  <si>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</si>
  <si>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</si>
  <si>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</si>
  <si>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</si>
  <si>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</si>
  <si>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</si>
  <si>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</si>
  <si>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</si>
  <si>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</si>
  <si>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</si>
  <si>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</si>
  <si>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</si>
  <si>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</si>
  <si>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</si>
  <si>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</si>
  <si>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</si>
  <si>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</si>
  <si>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</si>
  <si>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</si>
  <si>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</si>
  <si>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</si>
  <si>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</si>
  <si>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</si>
  <si>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</si>
  <si>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</si>
  <si>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</si>
  <si>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</si>
  <si>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</si>
  <si>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</si>
  <si>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</si>
  <si>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</si>
  <si>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</si>
  <si>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</si>
  <si>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</si>
  <si>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</si>
  <si>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</si>
  <si>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</si>
  <si>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</si>
  <si>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</si>
  <si>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</si>
  <si>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</si>
  <si>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</si>
  <si>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</si>
  <si>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</si>
  <si>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</si>
  <si>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</si>
  <si>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</si>
  <si>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</si>
  <si>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</si>
  <si>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</si>
  <si>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</si>
  <si>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</si>
  <si>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</si>
  <si>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</si>
  <si>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</si>
  <si>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</si>
  <si>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</si>
  <si>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</si>
  <si>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</si>
  <si>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</si>
  <si>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</si>
  <si>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</si>
  <si>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</si>
  <si>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</si>
  <si>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</si>
  <si>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</si>
  <si>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</si>
  <si>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</si>
  <si>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</si>
  <si>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</si>
  <si>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</si>
  <si>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</si>
  <si>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</si>
  <si>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</si>
  <si>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</si>
  <si>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</si>
  <si>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</si>
  <si>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</si>
  <si>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</si>
  <si>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</si>
  <si>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</si>
  <si>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</si>
  <si>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</si>
  <si>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</si>
  <si>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</si>
  <si>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</si>
  <si>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</si>
  <si>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</si>
  <si>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</si>
  <si>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</si>
  <si>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</si>
  <si>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</si>
  <si>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</si>
  <si>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</si>
  <si>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</si>
  <si>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</si>
  <si>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</si>
  <si>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</si>
  <si>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</si>
  <si>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</si>
  <si>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</si>
  <si>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</si>
  <si>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</si>
  <si>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</si>
  <si>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</si>
  <si>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</si>
  <si>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</si>
  <si>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</si>
  <si>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</si>
  <si>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</si>
  <si>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</si>
  <si>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</si>
  <si>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</si>
  <si>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</si>
  <si>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</si>
  <si>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</si>
  <si>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</si>
  <si>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</si>
  <si>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</si>
  <si>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</si>
  <si>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</si>
  <si>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</si>
  <si>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</si>
  <si>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</si>
  <si>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</si>
  <si>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</si>
  <si>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</si>
  <si>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</si>
  <si>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</si>
  <si>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</si>
  <si>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</si>
  <si>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</si>
  <si>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</si>
  <si>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</si>
  <si>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</si>
  <si>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</si>
  <si>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</si>
  <si>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</si>
  <si>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</si>
  <si>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</si>
  <si>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</si>
  <si>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</si>
  <si>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</si>
  <si>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</si>
  <si>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</si>
  <si>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</si>
  <si>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</si>
  <si>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</si>
  <si>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</si>
  <si>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</si>
  <si>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</si>
  <si>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</si>
  <si>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</si>
  <si>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</si>
  <si>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</si>
  <si>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</si>
  <si>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</si>
  <si>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</si>
  <si>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</si>
  <si>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</si>
  <si>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</si>
  <si>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</si>
  <si>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</si>
  <si>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</si>
  <si>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</si>
  <si>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</si>
  <si>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</si>
  <si>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</si>
  <si>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</si>
  <si>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</si>
  <si>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</si>
  <si>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</si>
  <si>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</si>
  <si>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</si>
  <si>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</si>
  <si>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</si>
  <si>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</si>
  <si>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</si>
  <si>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</si>
  <si>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</si>
  <si>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</si>
  <si>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</si>
  <si>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</si>
  <si>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</si>
  <si>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</si>
  <si>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</si>
  <si>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</si>
  <si>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</si>
  <si>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</si>
  <si>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</si>
  <si>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</si>
  <si>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</si>
  <si>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</si>
  <si>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</si>
  <si>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</si>
  <si>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</si>
  <si>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</si>
  <si>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</si>
  <si>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</si>
  <si>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</si>
  <si>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</si>
  <si>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</si>
  <si>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</si>
  <si>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</si>
  <si>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</si>
  <si>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</si>
  <si>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</si>
  <si>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</si>
  <si>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</si>
  <si>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</si>
  <si>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</si>
  <si>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</si>
  <si>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</si>
  <si>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</si>
  <si>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</si>
  <si>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</si>
  <si>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</si>
  <si>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</si>
  <si>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</si>
  <si>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</si>
  <si>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</si>
  <si>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</si>
  <si>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</si>
  <si>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</si>
  <si>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</si>
  <si>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</si>
  <si>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</si>
  <si>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</si>
  <si>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</si>
  <si>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</si>
  <si>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</si>
  <si>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</si>
  <si>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</si>
  <si>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</si>
  <si>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</si>
  <si>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</si>
  <si>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</si>
  <si>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</si>
  <si>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</si>
  <si>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</si>
  <si>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</si>
  <si>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</si>
  <si>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</si>
  <si>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</si>
  <si>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</si>
  <si>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</si>
  <si>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</si>
  <si>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</si>
  <si>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</si>
  <si>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</si>
  <si>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</si>
  <si>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</si>
  <si>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</si>
  <si>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</si>
  <si>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</si>
  <si>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</si>
  <si>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</si>
  <si>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</si>
  <si>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</si>
  <si>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</si>
  <si>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</si>
  <si>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</si>
  <si>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</si>
  <si>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</si>
  <si>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</si>
  <si>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</si>
  <si>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</si>
  <si>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</si>
  <si>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</si>
  <si>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</si>
  <si>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</si>
  <si>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</si>
  <si>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</si>
  <si>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</si>
  <si>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</si>
  <si>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</si>
  <si>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</si>
  <si>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</si>
  <si>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</si>
  <si>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</si>
  <si>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</si>
  <si>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</si>
  <si>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</si>
  <si>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</si>
  <si>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</si>
  <si>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</si>
  <si>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</si>
  <si>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</si>
  <si>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</si>
  <si>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</si>
  <si>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</si>
  <si>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</si>
  <si>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</si>
  <si>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</si>
  <si>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</si>
  <si>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</si>
  <si>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</si>
  <si>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</si>
  <si>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</si>
  <si>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</si>
  <si>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</si>
  <si>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</si>
  <si>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</si>
  <si>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</si>
  <si>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</si>
  <si>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</si>
  <si>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</si>
  <si>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</si>
  <si>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</si>
  <si>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</si>
  <si>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</si>
  <si>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</si>
  <si>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</si>
  <si>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</si>
  <si>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</si>
  <si>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</si>
  <si>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</si>
  <si>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</si>
  <si>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</si>
  <si>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</si>
  <si>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</si>
  <si>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</si>
  <si>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</si>
  <si>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</si>
  <si>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</si>
  <si>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</si>
  <si>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</si>
  <si>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</si>
  <si>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</si>
  <si>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</si>
  <si>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</si>
  <si>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</si>
  <si>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</si>
  <si>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</si>
  <si>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</si>
  <si>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</si>
  <si>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</si>
  <si>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</si>
  <si>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</si>
  <si>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</si>
  <si>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</si>
  <si>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</si>
  <si>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</si>
  <si>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</si>
  <si>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</si>
  <si>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</si>
  <si>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</si>
  <si>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</si>
  <si>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</si>
  <si>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</si>
  <si>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</si>
  <si>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</si>
  <si>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</si>
  <si>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</si>
  <si>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</si>
  <si>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</si>
  <si>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</si>
  <si>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</si>
  <si>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</si>
  <si>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</si>
  <si>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</si>
  <si>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</si>
  <si>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</si>
  <si>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</si>
  <si>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</si>
  <si>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</si>
  <si>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</si>
  <si>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</si>
  <si>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</si>
  <si>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</si>
  <si>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</si>
  <si>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</si>
  <si>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</si>
  <si>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</si>
  <si>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</si>
  <si>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</si>
  <si>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</si>
  <si>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</si>
  <si>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</si>
  <si>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</si>
  <si>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</si>
  <si>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</si>
  <si>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</si>
  <si>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</si>
  <si>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</si>
  <si>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</si>
  <si>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</si>
  <si>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</si>
  <si>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</si>
  <si>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</si>
  <si>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</si>
  <si>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</si>
  <si>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</si>
  <si>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</si>
  <si>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</si>
  <si>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</si>
  <si>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</si>
  <si>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</si>
  <si>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</si>
  <si>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</si>
  <si>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</si>
  <si>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</si>
  <si>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</si>
  <si>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</si>
  <si>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</si>
  <si>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</si>
  <si>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</si>
  <si>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</si>
  <si>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</si>
  <si>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</si>
  <si>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</si>
  <si>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</si>
  <si>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</si>
  <si>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</si>
  <si>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</si>
  <si>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</si>
  <si>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</si>
  <si>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</si>
  <si>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</si>
  <si>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</si>
  <si>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</si>
  <si>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</si>
  <si>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</si>
  <si>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</si>
  <si>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</si>
  <si>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</si>
  <si>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</si>
  <si>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</si>
  <si>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</si>
  <si>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</si>
  <si>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</si>
  <si>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</si>
  <si>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</si>
  <si>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</si>
  <si>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</si>
  <si>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</si>
  <si>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</si>
  <si>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</si>
  <si>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</si>
  <si>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</si>
  <si>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</si>
  <si>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</si>
  <si>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</si>
  <si>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</si>
  <si>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</si>
  <si>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</si>
  <si>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</si>
  <si>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</si>
  <si>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</si>
  <si>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</si>
  <si>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</si>
  <si>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</si>
  <si>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</si>
  <si>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</si>
  <si>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</si>
  <si>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</si>
  <si>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</si>
  <si>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</si>
  <si>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</si>
  <si>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</si>
  <si>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</si>
  <si>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</si>
  <si>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</si>
  <si>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</si>
  <si>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</si>
  <si>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</si>
  <si>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</si>
  <si>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</si>
  <si>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</si>
  <si>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</si>
  <si>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</si>
  <si>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</si>
  <si>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</si>
  <si>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</si>
  <si>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</si>
  <si>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</si>
  <si>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</si>
  <si>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</si>
  <si>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</si>
  <si>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</si>
  <si>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</si>
  <si>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</si>
  <si>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</si>
  <si>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</si>
  <si>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</si>
  <si>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</si>
  <si>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</si>
  <si>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</si>
  <si>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</si>
  <si>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</si>
  <si>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</si>
  <si>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</si>
  <si>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</si>
  <si>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</si>
  <si>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</si>
  <si>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</si>
  <si>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</si>
  <si>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</si>
  <si>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</si>
  <si>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</si>
  <si>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</si>
  <si>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</si>
  <si>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</si>
  <si>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</si>
  <si>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</si>
  <si>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</si>
  <si>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</si>
  <si>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</si>
  <si>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</si>
  <si>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</si>
  <si>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</si>
  <si>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</si>
  <si>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</si>
  <si>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</si>
  <si>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</si>
  <si>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</si>
  <si>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</si>
  <si>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</si>
  <si>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</si>
  <si>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</si>
  <si>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</si>
  <si>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</si>
  <si>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</si>
  <si>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</si>
  <si>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</si>
  <si>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</si>
  <si>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</si>
  <si>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</si>
  <si>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</si>
  <si>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</si>
  <si>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</si>
  <si>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</si>
  <si>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</si>
  <si>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</si>
  <si>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</si>
  <si>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</si>
  <si>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</si>
  <si>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</si>
  <si>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</si>
  <si>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</si>
  <si>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</si>
  <si>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</si>
  <si>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</si>
  <si>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</si>
  <si>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</si>
  <si>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</si>
  <si>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</si>
  <si>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</si>
  <si>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</si>
  <si>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</si>
  <si>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</si>
  <si>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</si>
  <si>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</si>
  <si>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</si>
  <si>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</si>
  <si>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</si>
  <si>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</si>
  <si>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</si>
  <si>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</si>
  <si>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</si>
  <si>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</si>
  <si>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</si>
  <si>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</si>
  <si>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</si>
  <si>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</si>
  <si>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</si>
  <si>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</si>
  <si>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</si>
  <si>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</si>
  <si>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</si>
  <si>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</si>
  <si>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</si>
  <si>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</si>
  <si>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</si>
  <si>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</si>
  <si>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</si>
  <si>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</si>
  <si>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</si>
  <si>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</si>
  <si>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</si>
  <si>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</si>
  <si>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</si>
  <si>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</si>
  <si>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</si>
  <si>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</si>
  <si>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</si>
  <si>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</si>
  <si>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</si>
  <si>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</si>
  <si>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</si>
  <si>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</si>
  <si>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</si>
  <si>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</si>
  <si>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</si>
  <si>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</si>
  <si>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</si>
  <si>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</si>
  <si>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</si>
  <si>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</si>
  <si>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</si>
  <si>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</si>
  <si>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</si>
  <si>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</si>
  <si>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</si>
  <si>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</si>
  <si>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</si>
  <si>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</si>
  <si>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</si>
  <si>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</si>
  <si>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</si>
  <si>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</si>
  <si>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</si>
  <si>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</si>
  <si>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</si>
  <si>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</si>
  <si>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</si>
  <si>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</si>
  <si>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</si>
  <si>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</si>
  <si>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</si>
  <si>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</si>
  <si>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</si>
  <si>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</si>
  <si>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</si>
  <si>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</si>
  <si>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</si>
  <si>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</si>
  <si>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</si>
  <si>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</si>
  <si>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</si>
  <si>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</si>
  <si>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</si>
  <si>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</si>
  <si>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</si>
  <si>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</si>
  <si>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</si>
  <si>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</si>
  <si>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</si>
  <si>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</si>
  <si>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</si>
  <si>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</si>
  <si>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</si>
  <si>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</si>
  <si>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</si>
  <si>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</si>
  <si>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</si>
  <si>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</si>
  <si>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</si>
  <si>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</si>
  <si>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</si>
  <si>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</si>
  <si>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</si>
  <si>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</si>
  <si>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</si>
  <si>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</si>
  <si>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</si>
  <si>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</si>
  <si>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</si>
  <si>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</si>
  <si>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</si>
  <si>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</si>
  <si>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</si>
  <si>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</si>
  <si>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</si>
  <si>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</si>
  <si>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</si>
  <si>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</si>
  <si>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</si>
  <si>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</si>
  <si>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</si>
  <si>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</si>
  <si>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</si>
  <si>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</si>
  <si>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</si>
  <si>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</si>
  <si>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</si>
  <si>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</si>
  <si>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</si>
  <si>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</si>
  <si>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</si>
  <si>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</si>
  <si>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</si>
  <si>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</si>
  <si>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</si>
  <si>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</si>
  <si>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</si>
  <si>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</si>
  <si>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</si>
  <si>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</si>
  <si>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</si>
  <si>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</si>
  <si>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</si>
  <si>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</si>
  <si>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</si>
  <si>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</si>
  <si>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</si>
  <si>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</si>
  <si>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</si>
  <si>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</si>
  <si>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</si>
  <si>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</si>
  <si>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</si>
  <si>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</si>
  <si>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</si>
  <si>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</si>
  <si>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</si>
  <si>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</si>
  <si>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</si>
  <si>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</si>
  <si>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</si>
  <si>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</si>
  <si>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</si>
  <si>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</si>
  <si>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</si>
  <si>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</si>
  <si>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</si>
  <si>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</si>
  <si>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</si>
  <si>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</si>
  <si>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</si>
  <si>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</si>
  <si>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</si>
  <si>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</si>
  <si>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</si>
  <si>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</si>
  <si>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</si>
  <si>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</si>
  <si>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</si>
  <si>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</si>
  <si>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</si>
  <si>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</si>
  <si>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</si>
  <si>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</si>
  <si>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</si>
  <si>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</si>
  <si>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</si>
  <si>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</si>
  <si>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</si>
  <si>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</si>
  <si>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</si>
  <si>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</si>
  <si>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</si>
  <si>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</si>
  <si>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</si>
  <si>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</si>
  <si>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</si>
  <si>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</si>
  <si>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</si>
  <si>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</si>
  <si>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</si>
  <si>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</si>
  <si>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</si>
  <si>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</si>
  <si>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</si>
  <si>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</si>
  <si>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</si>
  <si>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</si>
  <si>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</si>
  <si>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</si>
  <si>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</si>
  <si>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</si>
  <si>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</si>
  <si>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</si>
  <si>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</si>
  <si>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</si>
  <si>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</si>
  <si>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</si>
  <si>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</si>
  <si>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</si>
  <si>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</si>
  <si>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</si>
  <si>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</si>
  <si>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</si>
  <si>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</si>
  <si>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</si>
  <si>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</si>
  <si>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</si>
  <si>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</si>
  <si>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</si>
  <si>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</si>
  <si>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</si>
  <si>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</si>
  <si>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</si>
  <si>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</si>
  <si>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</si>
  <si>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</si>
  <si>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</si>
  <si>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</si>
  <si>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</si>
  <si>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</si>
  <si>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</si>
  <si>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</si>
  <si>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</si>
  <si>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</si>
  <si>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</si>
  <si>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</si>
  <si>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</si>
  <si>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</si>
  <si>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</si>
  <si>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</si>
  <si>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</si>
  <si>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</si>
  <si>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</si>
  <si>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</si>
  <si>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</si>
  <si>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</si>
  <si>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</si>
  <si>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</si>
  <si>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</si>
  <si>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</si>
  <si>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</si>
  <si>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</si>
  <si>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</si>
  <si>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</si>
  <si>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</si>
  <si>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</si>
  <si>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</si>
  <si>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</si>
  <si>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</si>
  <si>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</si>
  <si>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</si>
  <si>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</si>
  <si>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</si>
  <si>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</si>
  <si>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</si>
  <si>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</si>
  <si>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</si>
  <si>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</si>
  <si>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</si>
  <si>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</si>
  <si>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</si>
  <si>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</si>
  <si>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</si>
  <si>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</si>
  <si>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</si>
  <si>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</si>
  <si>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</si>
  <si>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</si>
  <si>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</si>
  <si>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</si>
  <si>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</si>
  <si>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</si>
  <si>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</si>
  <si>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</si>
  <si>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</si>
  <si>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</si>
  <si>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</si>
  <si>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</si>
  <si>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</si>
  <si>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</si>
  <si>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</si>
  <si>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</si>
  <si>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</si>
  <si>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</si>
  <si>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</si>
  <si>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</si>
  <si>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</si>
  <si>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</si>
  <si>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</si>
  <si>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</si>
  <si>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</si>
  <si>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</si>
  <si>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</si>
  <si>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</si>
  <si>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</si>
  <si>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</si>
  <si>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</si>
  <si>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</si>
  <si>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</si>
  <si>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</si>
  <si>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</si>
  <si>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</si>
  <si>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</si>
  <si>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</si>
  <si>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</si>
  <si>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</si>
  <si>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</si>
  <si>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</si>
  <si>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</si>
  <si>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</si>
  <si>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</si>
  <si>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</si>
  <si>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</si>
  <si>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</si>
  <si>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</si>
  <si>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</si>
  <si>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</si>
  <si>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</si>
  <si>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</si>
  <si>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</si>
  <si>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</si>
  <si>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</si>
  <si>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</si>
  <si>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</si>
  <si>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</si>
  <si>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</si>
  <si>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</si>
  <si>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</si>
  <si>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</si>
  <si>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</si>
  <si>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</si>
  <si>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</si>
  <si>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</si>
  <si>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</si>
  <si>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</si>
  <si>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</si>
  <si>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</si>
  <si>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</si>
  <si>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</si>
  <si>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</si>
  <si>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</si>
  <si>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</si>
  <si>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</si>
  <si>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</si>
  <si>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</si>
  <si>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</si>
  <si>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</si>
  <si>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</si>
  <si>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</si>
  <si>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</si>
  <si>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</si>
  <si>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</si>
  <si>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</si>
  <si>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</si>
  <si>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</si>
  <si>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</si>
  <si>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</si>
  <si>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</si>
  <si>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</si>
  <si>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</si>
  <si>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</si>
  <si>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</si>
  <si>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</si>
  <si>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</si>
  <si>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</si>
  <si>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</si>
  <si>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</si>
  <si>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</si>
  <si>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</si>
  <si>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</si>
  <si>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</si>
  <si>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</si>
  <si>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</si>
  <si>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</si>
  <si>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</si>
  <si>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</si>
  <si>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</si>
  <si>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</si>
  <si>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</si>
  <si>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</si>
  <si>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</si>
  <si>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</si>
  <si>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</si>
  <si>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</si>
  <si>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</si>
  <si>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</si>
  <si>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</si>
  <si>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</si>
  <si>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</si>
  <si>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</si>
  <si>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</si>
  <si>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</si>
  <si>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</si>
  <si>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</si>
  <si>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</si>
  <si>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</si>
  <si>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</si>
  <si>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</si>
  <si>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</si>
  <si>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</si>
  <si>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</si>
  <si>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</si>
  <si>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</si>
  <si>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</si>
  <si>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</si>
  <si>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</si>
  <si>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</si>
  <si>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</si>
  <si>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</si>
  <si>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</si>
  <si>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</si>
  <si>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</si>
  <si>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</si>
  <si>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</si>
  <si>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</si>
  <si>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</si>
  <si>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</si>
  <si>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</si>
  <si>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</si>
  <si>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</si>
  <si>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</si>
  <si>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</si>
  <si>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</si>
  <si>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</si>
  <si>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</si>
  <si>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</si>
  <si>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</si>
  <si>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</si>
  <si>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</si>
  <si>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</si>
  <si>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</si>
  <si>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</si>
  <si>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</si>
  <si>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</si>
  <si>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</si>
  <si>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</si>
  <si>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</si>
  <si>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</si>
  <si>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</si>
  <si>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</si>
  <si>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</si>
  <si>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</si>
  <si>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</si>
  <si>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</si>
  <si>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</si>
  <si>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</si>
  <si>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</si>
  <si>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</si>
  <si>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</si>
  <si>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</si>
  <si>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</si>
  <si>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</si>
  <si>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</si>
  <si>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</si>
  <si>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</si>
  <si>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</si>
  <si>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</si>
  <si>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</si>
  <si>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</si>
  <si>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</si>
  <si>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</si>
  <si>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</si>
  <si>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</si>
  <si>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</si>
  <si>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</si>
  <si>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</si>
  <si>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</si>
  <si>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</si>
  <si>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</si>
  <si>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</si>
  <si>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</si>
  <si>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</si>
  <si>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</si>
  <si>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</si>
  <si>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</si>
  <si>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</si>
  <si>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</si>
  <si>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</si>
  <si>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</si>
  <si>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</si>
  <si>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</si>
  <si>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</si>
  <si>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</si>
  <si>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</si>
  <si>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</si>
  <si>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</si>
  <si>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</si>
  <si>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</si>
  <si>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</si>
  <si>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</si>
  <si>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</si>
  <si>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</si>
  <si>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</si>
  <si>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</si>
  <si>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</si>
  <si>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</si>
  <si>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</si>
  <si>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</si>
  <si>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</si>
  <si>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</si>
  <si>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</si>
  <si>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</si>
  <si>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</si>
  <si>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</si>
  <si>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</si>
  <si>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</si>
  <si>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</si>
  <si>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</si>
  <si>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</si>
  <si>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</si>
  <si>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</si>
  <si>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</si>
  <si>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</si>
  <si>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</si>
  <si>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</si>
  <si>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</si>
  <si>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</si>
  <si>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</si>
  <si>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</si>
  <si>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</si>
  <si>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</si>
  <si>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</si>
  <si>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</si>
  <si>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</si>
  <si>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</si>
  <si>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</si>
  <si>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</si>
  <si>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</si>
  <si>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</si>
  <si>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</si>
  <si>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</si>
  <si>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</si>
  <si>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</si>
  <si>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</si>
  <si>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</si>
  <si>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</si>
  <si>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</si>
  <si>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</si>
  <si>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</si>
  <si>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</si>
  <si>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</si>
  <si>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</si>
  <si>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</si>
  <si>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</si>
  <si>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</si>
  <si>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</si>
  <si>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</si>
  <si>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</si>
  <si>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</si>
  <si>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</si>
  <si>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</si>
  <si>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</si>
  <si>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</si>
  <si>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</si>
  <si>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</si>
  <si>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</si>
  <si>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</si>
  <si>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</si>
  <si>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</si>
  <si>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</si>
  <si>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</si>
  <si>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</si>
  <si>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</si>
  <si>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</si>
  <si>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</si>
  <si>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</si>
  <si>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</si>
  <si>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</si>
  <si>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</si>
  <si>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</si>
  <si>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</si>
  <si>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</si>
  <si>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</si>
  <si>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</si>
  <si>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</si>
  <si>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</si>
  <si>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</si>
  <si>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</si>
  <si>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</si>
  <si>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</si>
  <si>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</si>
  <si>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</si>
  <si>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</si>
  <si>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</si>
  <si>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</si>
  <si>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</si>
  <si>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</si>
  <si>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</si>
  <si>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</si>
  <si>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</si>
  <si>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</si>
  <si>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</si>
  <si>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</si>
  <si>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</si>
  <si>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</si>
  <si>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</si>
  <si>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</si>
  <si>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</si>
  <si>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</si>
  <si>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</si>
  <si>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</si>
  <si>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</si>
  <si>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</si>
  <si>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</si>
  <si>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</si>
  <si>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</si>
  <si>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</si>
  <si>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</si>
  <si>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</si>
  <si>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</si>
  <si>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</si>
  <si>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</si>
  <si>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</si>
  <si>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</si>
  <si>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</si>
  <si>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</si>
  <si>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</si>
  <si>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</si>
  <si>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</si>
  <si>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</si>
  <si>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</si>
  <si>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</si>
  <si>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</si>
  <si>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</si>
  <si>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</si>
  <si>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</si>
  <si>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</si>
  <si>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</si>
  <si>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</si>
  <si>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</si>
  <si>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</si>
  <si>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</si>
  <si>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</si>
  <si>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</si>
  <si>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</si>
  <si>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</si>
  <si>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</si>
  <si>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</si>
  <si>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</si>
  <si>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</si>
  <si>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</si>
  <si>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</si>
  <si>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</si>
  <si>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</si>
  <si>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</si>
  <si>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</si>
  <si>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</si>
  <si>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</si>
  <si>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</si>
  <si>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</si>
  <si>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</si>
  <si>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</si>
  <si>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</si>
  <si>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</si>
  <si>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</si>
  <si>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</si>
  <si>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</si>
  <si>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</si>
  <si>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</si>
  <si>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</si>
  <si>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</si>
  <si>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</si>
  <si>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</si>
  <si>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</si>
  <si>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</si>
  <si>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</si>
  <si>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</si>
  <si>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</si>
  <si>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</si>
  <si>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</si>
  <si>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</si>
  <si>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</si>
  <si>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</si>
  <si>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</si>
  <si>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</si>
  <si>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</si>
  <si>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</si>
  <si>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</si>
  <si>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</si>
  <si>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</si>
  <si>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</si>
  <si>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</si>
  <si>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</si>
  <si>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</si>
  <si>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</si>
  <si>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</si>
  <si>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</si>
  <si>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</si>
  <si>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</si>
  <si>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</si>
  <si>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</si>
  <si>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</si>
  <si>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</si>
  <si>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</si>
  <si>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</si>
  <si>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</si>
  <si>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</si>
  <si>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</si>
  <si>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</si>
  <si>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</si>
  <si>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</si>
  <si>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</si>
  <si>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</si>
  <si>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</si>
  <si>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</si>
  <si>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</si>
  <si>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</si>
  <si>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</si>
  <si>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</si>
  <si>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</si>
  <si>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</si>
  <si>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</si>
  <si>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</si>
  <si>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</si>
  <si>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</si>
  <si>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</si>
  <si>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</si>
  <si>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</si>
  <si>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</si>
  <si>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</si>
  <si>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</si>
  <si>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</si>
  <si>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</si>
  <si>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</si>
  <si>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</si>
  <si>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</si>
  <si>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</si>
  <si>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</si>
  <si>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</si>
  <si>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</si>
  <si>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</si>
  <si>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</si>
  <si>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</si>
  <si>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</si>
  <si>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</si>
  <si>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</si>
  <si>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</si>
  <si>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</si>
  <si>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</si>
  <si>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</si>
  <si>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</si>
  <si>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</si>
  <si>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</si>
  <si>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</si>
  <si>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</si>
  <si>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</si>
  <si>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</si>
  <si>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</si>
  <si>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</si>
  <si>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</si>
  <si>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</si>
  <si>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</si>
  <si>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</si>
  <si>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</si>
  <si>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</si>
  <si>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</si>
  <si>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</si>
  <si>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</si>
  <si>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</si>
  <si>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</si>
  <si>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</si>
  <si>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</si>
  <si>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</si>
  <si>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</si>
  <si>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</si>
  <si>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</si>
  <si>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</si>
  <si>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</si>
  <si>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</si>
  <si>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</si>
  <si>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</si>
  <si>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</si>
  <si>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</si>
  <si>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</si>
  <si>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</si>
  <si>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</si>
  <si>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</si>
  <si>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</si>
  <si>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</si>
  <si>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</si>
  <si>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</si>
  <si>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</si>
  <si>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</si>
  <si>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</si>
  <si>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</si>
  <si>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</si>
  <si>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</si>
  <si>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</si>
  <si>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</si>
  <si>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</si>
  <si>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</si>
  <si>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</si>
  <si>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</si>
  <si>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</si>
  <si>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</si>
  <si>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</si>
  <si>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</si>
  <si>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</si>
  <si>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</si>
  <si>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</si>
  <si>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</si>
  <si>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</si>
  <si>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</si>
  <si>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</si>
  <si>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</si>
  <si>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</si>
  <si>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</si>
  <si>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</si>
  <si>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</si>
  <si>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</si>
  <si>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</si>
  <si>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</si>
  <si>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</si>
  <si>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</si>
  <si>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</si>
  <si>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</si>
  <si>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</si>
  <si>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</si>
  <si>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</si>
  <si>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</si>
  <si>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</si>
  <si>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</si>
  <si>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</si>
  <si>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</si>
  <si>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</si>
  <si>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</si>
  <si>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</si>
  <si>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</si>
  <si>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</si>
  <si>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</si>
  <si>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</si>
  <si>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</si>
  <si>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</si>
  <si>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</si>
  <si>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</si>
  <si>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</si>
  <si>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</si>
  <si>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</si>
  <si>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</si>
  <si>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</si>
  <si>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</si>
  <si>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</si>
  <si>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</si>
  <si>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</si>
  <si>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</si>
  <si>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</si>
  <si>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</si>
  <si>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</si>
  <si>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</si>
  <si>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</si>
  <si>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</si>
  <si>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</si>
  <si>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</si>
  <si>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</si>
  <si>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</si>
  <si>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</si>
  <si>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</si>
  <si>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</si>
  <si>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</si>
  <si>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</si>
  <si>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</si>
  <si>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</si>
  <si>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</si>
  <si>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</si>
  <si>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</si>
  <si>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</si>
  <si>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</si>
  <si>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</si>
  <si>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</si>
  <si>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</si>
  <si>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</si>
  <si>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</si>
  <si>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</si>
  <si>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</si>
  <si>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</si>
  <si>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</si>
  <si>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</si>
  <si>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</si>
  <si>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</si>
  <si>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</si>
  <si>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</si>
  <si>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</si>
  <si>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</si>
  <si>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</si>
  <si>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</si>
  <si>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</si>
  <si>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</si>
  <si>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</si>
  <si>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</si>
  <si>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</si>
  <si>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</si>
  <si>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</si>
  <si>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</si>
  <si>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</si>
  <si>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</si>
  <si>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</si>
  <si>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</si>
  <si>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</si>
  <si>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</si>
  <si>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</si>
  <si>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</si>
  <si>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</si>
  <si>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</si>
  <si>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</si>
  <si>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</si>
  <si>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</si>
  <si>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</si>
  <si>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</si>
  <si>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</si>
  <si>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</si>
  <si>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</si>
  <si>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</si>
  <si>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</si>
  <si>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</si>
  <si>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</si>
  <si>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</si>
  <si>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</si>
  <si>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</si>
  <si>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</si>
  <si>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</si>
  <si>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</si>
  <si>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</si>
  <si>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</si>
  <si>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</si>
  <si>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</si>
  <si>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</si>
  <si>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</si>
  <si>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</si>
  <si>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</si>
  <si>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</si>
  <si>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</si>
  <si>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</si>
  <si>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</si>
  <si>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</si>
  <si>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</si>
  <si>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</si>
  <si>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</si>
  <si>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</si>
  <si>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</si>
  <si>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</si>
  <si>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</si>
  <si>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</si>
  <si>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</si>
  <si>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</si>
  <si>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</si>
  <si>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</si>
  <si>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</si>
  <si>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</si>
  <si>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</si>
  <si>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</si>
  <si>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</si>
  <si>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</si>
  <si>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</si>
  <si>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</si>
  <si>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</si>
  <si>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</si>
  <si>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</si>
  <si>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</si>
  <si>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</si>
  <si>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</si>
  <si>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</si>
  <si>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</si>
  <si>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</si>
  <si>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</si>
  <si>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</si>
  <si>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</si>
  <si>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</si>
  <si>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</si>
  <si>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</si>
  <si>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</si>
  <si>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</si>
  <si>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</si>
  <si>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</si>
  <si>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</si>
  <si>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</si>
  <si>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</si>
  <si>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</si>
  <si>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</si>
  <si>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</si>
  <si>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</si>
  <si>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</si>
  <si>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</si>
  <si>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</si>
  <si>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</si>
  <si>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</si>
  <si>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</si>
  <si>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</si>
  <si>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</si>
  <si>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</si>
  <si>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</si>
  <si>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</si>
  <si>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</si>
  <si>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</si>
  <si>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</si>
  <si>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</si>
  <si>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</si>
  <si>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</si>
  <si>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</si>
  <si>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</si>
  <si>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</si>
  <si>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</si>
  <si>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</si>
  <si>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</si>
  <si>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</si>
  <si>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</si>
  <si>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</si>
  <si>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</si>
  <si>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</si>
  <si>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</si>
  <si>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</si>
  <si>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</si>
  <si>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</si>
  <si>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</si>
  <si>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</si>
  <si>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</si>
  <si>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</si>
  <si>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</si>
  <si>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</si>
  <si>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</si>
  <si>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</si>
  <si>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</si>
  <si>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</si>
  <si>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</si>
  <si>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</si>
  <si>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</si>
  <si>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</si>
  <si>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</si>
  <si>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</si>
  <si>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</si>
  <si>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</si>
  <si>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</si>
  <si>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</si>
  <si>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</si>
  <si>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</si>
  <si>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</si>
  <si>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</si>
  <si>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</si>
  <si>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</si>
  <si>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</si>
  <si>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</si>
  <si>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</si>
  <si>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</si>
  <si>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</si>
  <si>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</si>
  <si>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</si>
  <si>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</si>
  <si>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</si>
  <si>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</si>
  <si>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</si>
  <si>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</si>
  <si>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</si>
  <si>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</si>
  <si>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</si>
  <si>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</si>
  <si>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</si>
  <si>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</si>
  <si>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</si>
  <si>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</si>
  <si>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</si>
  <si>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</si>
  <si>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</si>
  <si>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</si>
  <si>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</si>
  <si>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</si>
  <si>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</si>
  <si>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</si>
  <si>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</si>
  <si>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</si>
  <si>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</si>
  <si>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</si>
  <si>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</si>
  <si>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</si>
  <si>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</si>
  <si>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</si>
  <si>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</si>
  <si>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</si>
  <si>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</si>
  <si>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</si>
  <si>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</si>
  <si>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</si>
  <si>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</si>
  <si>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</si>
  <si>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</si>
  <si>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</si>
  <si>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</si>
  <si>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</si>
  <si>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</si>
  <si>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</si>
  <si>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</si>
  <si>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</si>
  <si>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</si>
  <si>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</si>
  <si>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</si>
  <si>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</si>
  <si>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</si>
  <si>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</si>
  <si>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</si>
  <si>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</si>
  <si>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</si>
  <si>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</si>
  <si>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</si>
  <si>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</si>
  <si>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</si>
  <si>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</si>
  <si>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</si>
  <si>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</si>
  <si>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</si>
  <si>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</si>
  <si>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</si>
  <si>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</si>
  <si>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</si>
  <si>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</si>
  <si>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</si>
  <si>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</si>
  <si>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</si>
  <si>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</si>
  <si>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</si>
  <si>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</si>
  <si>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</si>
  <si>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</si>
  <si>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</si>
  <si>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</si>
  <si>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</si>
  <si>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</si>
  <si>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</si>
  <si>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</si>
  <si>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</si>
  <si>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</si>
  <si>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</si>
  <si>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</si>
  <si>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</si>
  <si>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</si>
  <si>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</si>
  <si>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</si>
  <si>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</si>
  <si>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</si>
  <si>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</si>
  <si>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</si>
  <si>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</si>
  <si>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</si>
  <si>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</si>
  <si>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</si>
  <si>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</si>
  <si>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</si>
  <si>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</si>
  <si>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</si>
  <si>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</si>
  <si>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</si>
  <si>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</si>
  <si>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</si>
  <si>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</si>
  <si>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</si>
  <si>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</si>
  <si>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</si>
  <si>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</si>
  <si>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</si>
  <si>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</si>
  <si>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</si>
  <si>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</si>
  <si>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</si>
  <si>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</si>
  <si>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</si>
  <si>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</si>
  <si>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</si>
  <si>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</si>
  <si>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</si>
  <si>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</si>
  <si>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</si>
  <si>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</si>
  <si>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</si>
  <si>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</si>
  <si>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</si>
  <si>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</si>
  <si>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</si>
  <si>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</si>
  <si>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</si>
  <si>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</si>
  <si>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</si>
  <si>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</si>
  <si>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</si>
  <si>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</si>
  <si>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</si>
  <si>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</si>
  <si>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</si>
  <si>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</si>
  <si>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</si>
  <si>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</si>
  <si>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</si>
  <si>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</si>
  <si>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</si>
  <si>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</si>
  <si>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</si>
  <si>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</si>
  <si>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</si>
  <si>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</si>
  <si>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</si>
  <si>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</si>
  <si>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</si>
  <si>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</si>
  <si>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</si>
  <si>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</si>
  <si>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</si>
  <si>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</si>
  <si>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</si>
  <si>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</si>
  <si>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</si>
  <si>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</si>
  <si>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</si>
  <si>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</si>
  <si>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</si>
  <si>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</si>
  <si>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</si>
  <si>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</si>
  <si>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</si>
  <si>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</si>
  <si>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</si>
  <si>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</si>
  <si>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</si>
  <si>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</si>
  <si>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</si>
  <si>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</si>
  <si>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</si>
  <si>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</si>
  <si>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</si>
  <si>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</si>
  <si>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</si>
  <si>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</si>
  <si>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</si>
  <si>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</si>
  <si>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</si>
  <si>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</si>
  <si>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</si>
  <si>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</si>
  <si>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</si>
  <si>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</si>
  <si>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</si>
  <si>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</si>
  <si>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</si>
  <si>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</si>
  <si>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</si>
  <si>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</si>
  <si>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</si>
  <si>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</si>
  <si>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</si>
  <si>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</si>
  <si>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</si>
  <si>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</si>
  <si>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</si>
  <si>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</si>
  <si>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</si>
  <si>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</si>
  <si>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</si>
  <si>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</si>
  <si>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</si>
  <si>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</si>
  <si>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</si>
  <si>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</si>
  <si>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</si>
  <si>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</si>
  <si>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</si>
  <si>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</si>
  <si>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</si>
  <si>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</si>
  <si>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</si>
  <si>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</si>
  <si>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</si>
  <si>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</si>
  <si>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</si>
  <si>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</si>
  <si>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</si>
  <si>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</si>
  <si>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</si>
  <si>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</si>
  <si>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</si>
  <si>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</si>
  <si>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</si>
  <si>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</si>
  <si>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</si>
  <si>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</si>
  <si>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</si>
  <si>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</si>
  <si>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</si>
  <si>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</si>
  <si>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</si>
  <si>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</si>
  <si>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</si>
  <si>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</si>
  <si>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</si>
  <si>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</si>
  <si>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</si>
  <si>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</si>
  <si>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</si>
  <si>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</si>
  <si>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</si>
  <si>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</si>
  <si>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</si>
  <si>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</si>
  <si>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</si>
  <si>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</si>
  <si>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</si>
  <si>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</si>
  <si>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</si>
  <si>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</si>
  <si>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</si>
  <si>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</si>
  <si>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</si>
  <si>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</si>
  <si>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</si>
  <si>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</si>
  <si>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</si>
  <si>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</si>
  <si>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</si>
  <si>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</si>
  <si>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</si>
  <si>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</si>
  <si>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</si>
  <si>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</si>
  <si>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</si>
  <si>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</si>
  <si>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</si>
  <si>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</si>
  <si>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</si>
  <si>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</si>
  <si>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</si>
  <si>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</si>
  <si>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</si>
  <si>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</si>
  <si>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</si>
  <si>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</si>
  <si>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</si>
  <si>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</si>
  <si>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</si>
  <si>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</si>
  <si>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</si>
  <si>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</si>
  <si>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</si>
  <si>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</si>
  <si>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</si>
  <si>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</si>
  <si>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</si>
  <si>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</si>
  <si>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</si>
  <si>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</si>
  <si>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</si>
  <si>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</si>
  <si>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</si>
  <si>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</si>
  <si>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</si>
  <si>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</si>
  <si>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</si>
  <si>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</si>
  <si>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</si>
  <si>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</si>
  <si>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</si>
  <si>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</si>
  <si>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</si>
  <si>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</si>
  <si>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</si>
  <si>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</si>
  <si>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</si>
  <si>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</si>
  <si>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</si>
  <si>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</si>
  <si>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</si>
  <si>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</si>
  <si>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</si>
  <si>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</si>
  <si>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</si>
  <si>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</si>
  <si>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</si>
  <si>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</si>
  <si>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</si>
  <si>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</si>
  <si>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</si>
  <si>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</si>
  <si>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</si>
  <si>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</si>
  <si>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</si>
  <si>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</si>
  <si>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</si>
  <si>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</si>
  <si>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</si>
  <si>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</si>
  <si>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</si>
  <si>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</si>
  <si>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</si>
  <si>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</si>
  <si>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</si>
  <si>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</si>
  <si>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</si>
  <si>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</si>
  <si>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</si>
  <si>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</si>
  <si>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</si>
  <si>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</si>
  <si>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</si>
  <si>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</si>
  <si>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</si>
  <si>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</si>
  <si>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</si>
  <si>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</si>
  <si>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</si>
  <si>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</si>
  <si>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</si>
  <si>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</si>
  <si>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</si>
  <si>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</si>
  <si>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</si>
  <si>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</si>
  <si>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</si>
  <si>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</si>
  <si>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</si>
  <si>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</si>
  <si>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</si>
  <si>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</si>
  <si>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</si>
  <si>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</si>
  <si>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</si>
  <si>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</si>
  <si>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</si>
  <si>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</si>
  <si>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</si>
  <si>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</si>
  <si>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</si>
  <si>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</si>
  <si>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</si>
  <si>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</si>
  <si>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</si>
  <si>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</si>
  <si>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</si>
  <si>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</si>
  <si>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</si>
  <si>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</si>
  <si>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</si>
  <si>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</si>
  <si>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</si>
  <si>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</si>
  <si>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</si>
  <si>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</si>
  <si>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</si>
  <si>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</si>
  <si>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</si>
  <si>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</si>
  <si>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</si>
  <si>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</si>
  <si>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</si>
  <si>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</si>
  <si>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</si>
  <si>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</si>
  <si>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</si>
  <si>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</si>
  <si>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</si>
  <si>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</si>
  <si>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</si>
  <si>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</si>
  <si>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</si>
  <si>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</si>
  <si>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</si>
  <si>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</si>
  <si>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</si>
  <si>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</si>
  <si>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</si>
  <si>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</si>
  <si>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</si>
  <si>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</si>
  <si>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</si>
  <si>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</si>
  <si>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</si>
  <si>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</si>
  <si>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</si>
  <si>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</si>
  <si>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</si>
  <si>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</si>
  <si>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</si>
  <si>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</si>
  <si>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</si>
  <si>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</si>
  <si>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</si>
  <si>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</si>
  <si>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</si>
  <si>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</si>
  <si>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</si>
  <si>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</si>
  <si>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</si>
  <si>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</si>
  <si>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</si>
  <si>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</si>
  <si>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</si>
  <si>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</si>
  <si>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</si>
  <si>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</si>
  <si>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</si>
  <si>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</si>
  <si>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</si>
  <si>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</si>
  <si>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</si>
  <si>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</si>
  <si>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</si>
  <si>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</si>
  <si>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</si>
  <si>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</si>
  <si>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</si>
  <si>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</si>
  <si>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</si>
  <si>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</si>
  <si>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</si>
  <si>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</si>
  <si>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</si>
  <si>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</si>
  <si>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</si>
  <si>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</si>
  <si>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</si>
  <si>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</si>
  <si>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</si>
  <si>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</si>
  <si>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</si>
  <si>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</si>
  <si>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</si>
  <si>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</si>
  <si>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</si>
  <si>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</si>
  <si>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</si>
  <si>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</si>
  <si>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</si>
  <si>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</si>
  <si>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</si>
  <si>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</si>
  <si>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</si>
  <si>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</si>
  <si>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</si>
  <si>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</si>
  <si>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</si>
  <si>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</si>
  <si>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</si>
  <si>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</si>
  <si>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</si>
  <si>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</si>
  <si>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</si>
  <si>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</si>
  <si>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</si>
  <si>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</si>
  <si>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</si>
  <si>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</si>
  <si>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</si>
  <si>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</si>
  <si>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</si>
  <si>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</si>
  <si>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</si>
  <si>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</si>
  <si>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</si>
  <si>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</si>
  <si>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</si>
  <si>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</si>
  <si>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</si>
  <si>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</si>
  <si>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</si>
  <si>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</si>
  <si>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</si>
  <si>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</si>
  <si>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</si>
  <si>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</si>
  <si>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</si>
  <si>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</si>
  <si>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</si>
  <si>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</si>
  <si>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</si>
  <si>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</si>
  <si>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</si>
  <si>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</si>
  <si>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</si>
  <si>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</si>
  <si>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</si>
  <si>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</si>
  <si>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</si>
  <si>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</si>
  <si>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</si>
  <si>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</si>
  <si>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</si>
  <si>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</si>
  <si>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</si>
  <si>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</si>
  <si>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</si>
  <si>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</si>
  <si>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</si>
  <si>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</si>
  <si>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</si>
  <si>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</si>
  <si>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</si>
  <si>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</si>
  <si>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</si>
  <si>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</si>
  <si>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</si>
  <si>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</si>
  <si>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</si>
  <si>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</si>
  <si>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</si>
  <si>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</si>
  <si>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</si>
  <si>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</si>
  <si>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</si>
  <si>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</si>
  <si>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</si>
  <si>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</si>
  <si>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</si>
  <si>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</si>
  <si>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</si>
  <si>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</si>
  <si>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</si>
  <si>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</si>
  <si>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</si>
  <si>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</si>
  <si>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</si>
  <si>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</si>
  <si>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</si>
  <si>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</si>
  <si>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</si>
  <si>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</si>
  <si>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</si>
  <si>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</si>
  <si>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</si>
  <si>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</si>
  <si>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</si>
  <si>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</si>
  <si>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</si>
  <si>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</si>
  <si>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</si>
  <si>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</si>
  <si>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</si>
  <si>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</si>
  <si>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</si>
  <si>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</si>
  <si>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</si>
  <si>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</si>
  <si>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</si>
  <si>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</si>
  <si>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</si>
  <si>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</si>
  <si>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</si>
  <si>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</si>
  <si>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</si>
  <si>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</si>
  <si>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</si>
  <si>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</si>
  <si>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</si>
  <si>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</si>
  <si>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</si>
  <si>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</si>
  <si>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</si>
  <si>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</si>
  <si>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</si>
  <si>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</si>
  <si>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</si>
  <si>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</si>
  <si>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</si>
  <si>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</si>
  <si>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</si>
  <si>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</si>
  <si>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</si>
  <si>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</si>
  <si>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</si>
  <si>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</si>
  <si>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</si>
  <si>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</si>
  <si>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</si>
  <si>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</si>
  <si>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</si>
  <si>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</si>
  <si>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</si>
  <si>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</si>
  <si>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</si>
  <si>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</si>
  <si>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</si>
  <si>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</si>
  <si>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</si>
  <si>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</si>
  <si>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</si>
  <si>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</si>
  <si>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</si>
  <si>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</si>
  <si>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</si>
  <si>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</si>
  <si>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</si>
  <si>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</si>
  <si>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</si>
  <si>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</si>
  <si>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</si>
  <si>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</si>
  <si>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</si>
  <si>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</si>
  <si>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</si>
  <si>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</si>
  <si>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</si>
  <si>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</si>
  <si>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</si>
  <si>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</si>
  <si>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</si>
  <si>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</si>
  <si>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</si>
  <si>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</si>
  <si>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</si>
  <si>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</si>
  <si>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</si>
  <si>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</si>
  <si>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</si>
  <si>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</si>
  <si>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</si>
  <si>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</si>
  <si>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</si>
  <si>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</si>
  <si>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</si>
  <si>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</si>
  <si>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</si>
  <si>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</si>
  <si>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</si>
  <si>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</si>
  <si>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</si>
  <si>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</si>
  <si>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</si>
  <si>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</si>
  <si>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</si>
  <si>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</si>
  <si>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</si>
  <si>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</si>
  <si>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</si>
  <si>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</si>
  <si>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</si>
  <si>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</si>
  <si>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</si>
  <si>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</si>
  <si>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</si>
  <si>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</si>
  <si>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</si>
  <si>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</si>
  <si>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</si>
  <si>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</si>
  <si>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</si>
  <si>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</si>
  <si>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</si>
  <si>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</si>
  <si>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</si>
  <si>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</si>
  <si>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</si>
  <si>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</si>
  <si>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</si>
  <si>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</si>
  <si>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</si>
  <si>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</si>
  <si>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</si>
  <si>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</si>
  <si>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</si>
  <si>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</si>
  <si>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</si>
  <si>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</si>
  <si>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</si>
  <si>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</si>
  <si>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</si>
  <si>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</si>
  <si>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</si>
  <si>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</si>
  <si>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</si>
  <si>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</si>
  <si>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</si>
  <si>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</si>
  <si>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</si>
  <si>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</si>
  <si>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</si>
  <si>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</si>
  <si>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</si>
  <si>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</si>
  <si>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</si>
  <si>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</si>
  <si>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</si>
  <si>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</si>
  <si>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</si>
  <si>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</si>
  <si>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</si>
  <si>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</si>
  <si>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</si>
  <si>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</si>
  <si>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</si>
  <si>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</si>
  <si>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</si>
  <si>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</si>
  <si>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</si>
  <si>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</si>
  <si>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</si>
  <si>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</si>
  <si>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</si>
  <si>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</si>
  <si>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</si>
  <si>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</si>
  <si>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</si>
  <si>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</si>
  <si>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</si>
  <si>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</si>
  <si>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</si>
  <si>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</si>
  <si>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</si>
  <si>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</si>
  <si>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</si>
  <si>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</si>
  <si>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</si>
  <si>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</si>
  <si>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</si>
  <si>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</si>
  <si>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</si>
  <si>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</si>
  <si>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</si>
  <si>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</si>
  <si>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</si>
  <si>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</si>
  <si>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</si>
  <si>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</si>
  <si>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</si>
  <si>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</si>
  <si>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</si>
  <si>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</si>
  <si>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</si>
  <si>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</si>
  <si>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</si>
  <si>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</si>
  <si>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</si>
  <si>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</si>
  <si>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</si>
  <si>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</si>
  <si>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</si>
  <si>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</si>
  <si>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</si>
  <si>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</si>
  <si>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</si>
  <si>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</si>
  <si>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</si>
  <si>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</si>
  <si>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</si>
  <si>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</si>
  <si>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</si>
  <si>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</si>
  <si>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</si>
  <si>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</si>
  <si>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</si>
  <si>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</si>
  <si>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</si>
  <si>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</si>
  <si>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</si>
  <si>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</si>
  <si>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</si>
  <si>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</si>
  <si>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</si>
  <si>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</si>
  <si>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</si>
  <si>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</si>
  <si>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</si>
  <si>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</si>
  <si>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</si>
  <si>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</si>
  <si>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</si>
  <si>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</si>
  <si>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</si>
  <si>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</si>
  <si>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</si>
  <si>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</si>
  <si>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</si>
  <si>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</si>
  <si>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</si>
  <si>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</si>
  <si>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</si>
  <si>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</si>
  <si>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</si>
  <si>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</si>
  <si>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</si>
  <si>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</si>
  <si>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</si>
  <si>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</si>
  <si>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</si>
  <si>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</si>
  <si>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</si>
  <si>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</si>
  <si>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</si>
  <si>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</si>
  <si>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</si>
  <si>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</si>
  <si>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</si>
  <si>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</si>
  <si>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</si>
  <si>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</si>
  <si>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</si>
  <si>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</si>
  <si>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</si>
  <si>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</si>
  <si>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</si>
  <si>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</si>
  <si>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</si>
  <si>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</si>
  <si>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</si>
  <si>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</si>
  <si>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</si>
  <si>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</si>
  <si>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</si>
  <si>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</si>
  <si>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</si>
  <si>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</si>
  <si>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</si>
  <si>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</si>
  <si>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</si>
  <si>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</si>
  <si>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</si>
  <si>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</si>
  <si>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</si>
  <si>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</si>
  <si>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</si>
  <si>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</si>
  <si>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</si>
  <si>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</si>
  <si>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</si>
  <si>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</si>
  <si>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</si>
  <si>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</si>
  <si>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</si>
  <si>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</si>
  <si>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</si>
  <si>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</si>
  <si>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</si>
  <si>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</si>
  <si>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</si>
  <si>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</si>
  <si>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</si>
  <si>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</si>
  <si>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</si>
  <si>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</si>
  <si>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</si>
  <si>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</si>
  <si>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</si>
  <si>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</si>
  <si>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</si>
  <si>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</si>
  <si>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</si>
  <si>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</si>
  <si>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</si>
  <si>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</si>
  <si>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</si>
  <si>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</si>
  <si>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</si>
  <si>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</si>
  <si>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</si>
  <si>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</si>
  <si>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</si>
  <si>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</si>
  <si>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</si>
  <si>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</si>
  <si>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</si>
  <si>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</si>
  <si>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</si>
  <si>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</si>
  <si>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</si>
  <si>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</si>
  <si>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</si>
  <si>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</si>
  <si>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</si>
  <si>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</si>
  <si>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</si>
  <si>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</si>
  <si>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</si>
  <si>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</si>
  <si>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</si>
  <si>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</si>
  <si>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</si>
  <si>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</si>
  <si>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</si>
  <si>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</si>
  <si>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</si>
  <si>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</si>
  <si>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</si>
  <si>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</si>
  <si>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</si>
  <si>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</si>
  <si>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</si>
  <si>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</si>
  <si>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</si>
  <si>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</si>
  <si>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</si>
  <si>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</si>
  <si>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</si>
  <si>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</si>
  <si>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</si>
  <si>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</si>
  <si>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</si>
  <si>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</si>
  <si>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</si>
  <si>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</si>
  <si>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</si>
  <si>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</si>
  <si>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</si>
  <si>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</si>
  <si>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</si>
  <si>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</si>
  <si>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</si>
  <si>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</si>
  <si>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</si>
  <si>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</si>
  <si>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</si>
  <si>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</si>
  <si>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</si>
  <si>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</si>
  <si>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</si>
  <si>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</si>
  <si>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</si>
  <si>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</si>
  <si>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</si>
  <si>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</si>
  <si>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</si>
  <si>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</si>
  <si>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</si>
  <si>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</si>
  <si>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</si>
  <si>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</si>
  <si>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</si>
  <si>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</si>
  <si>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</si>
  <si>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</si>
  <si>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</si>
  <si>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</si>
  <si>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</si>
  <si>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</si>
  <si>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</si>
  <si>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</si>
  <si>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</si>
  <si>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</si>
  <si>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</si>
  <si>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</si>
  <si>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</si>
  <si>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</si>
  <si>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</si>
  <si>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</si>
  <si>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</si>
  <si>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</si>
  <si>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</si>
  <si>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</si>
  <si>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</si>
  <si>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</si>
  <si>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</si>
  <si>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</si>
  <si>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</si>
  <si>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</si>
  <si>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</si>
  <si>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</si>
  <si>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</si>
  <si>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</si>
  <si>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</si>
  <si>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</si>
  <si>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</si>
  <si>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</si>
  <si>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</si>
  <si>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</si>
  <si>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</si>
  <si>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</si>
  <si>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</si>
  <si>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</si>
  <si>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</si>
  <si>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</si>
  <si>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</si>
  <si>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</si>
  <si>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</si>
  <si>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</si>
  <si>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</si>
  <si>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</si>
  <si>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</si>
  <si>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</si>
  <si>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</si>
  <si>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</si>
  <si>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</si>
  <si>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</si>
  <si>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</si>
  <si>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</si>
  <si>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</si>
  <si>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</si>
  <si>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</si>
  <si>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</si>
  <si>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</si>
  <si>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</si>
  <si>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</si>
  <si>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</si>
  <si>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</si>
  <si>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</si>
  <si>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</si>
  <si>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</si>
  <si>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</si>
  <si>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</si>
  <si>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</si>
  <si>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</si>
  <si>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</si>
  <si>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</si>
  <si>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</si>
  <si>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</si>
  <si>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</si>
  <si>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</si>
  <si>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</si>
  <si>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</si>
  <si>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</si>
  <si>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</si>
  <si>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</si>
  <si>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</si>
  <si>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</si>
  <si>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</si>
  <si>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</si>
  <si>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</si>
  <si>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</si>
  <si>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</si>
  <si>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</si>
  <si>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</si>
  <si>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</si>
  <si>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</si>
  <si>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</si>
  <si>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</si>
  <si>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</si>
  <si>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</si>
  <si>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</si>
  <si>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</si>
  <si>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</si>
  <si>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</si>
  <si>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</si>
  <si>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</si>
  <si>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</si>
  <si>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</si>
  <si>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</si>
  <si>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</si>
  <si>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</si>
  <si>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</si>
  <si>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</si>
  <si>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</si>
  <si>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</si>
  <si>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</si>
  <si>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</si>
  <si>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</si>
  <si>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</si>
  <si>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</si>
  <si>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</si>
  <si>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</si>
  <si>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</si>
  <si>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</si>
  <si>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</si>
  <si>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</si>
  <si>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</si>
  <si>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</si>
  <si>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</si>
  <si>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</si>
  <si>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</si>
  <si>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</si>
  <si>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</si>
  <si>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</si>
  <si>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</si>
  <si>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</si>
  <si>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</si>
  <si>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</si>
  <si>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</si>
  <si>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</si>
  <si>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</si>
  <si>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</si>
  <si>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</si>
  <si>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</si>
  <si>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</si>
  <si>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</si>
  <si>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</si>
  <si>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</si>
  <si>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</si>
  <si>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</si>
  <si>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</si>
  <si>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</si>
  <si>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</si>
  <si>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</si>
  <si>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</si>
  <si>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</si>
  <si>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</si>
  <si>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</si>
  <si>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</si>
  <si>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</si>
  <si>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</si>
  <si>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</si>
  <si>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</si>
  <si>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</si>
  <si>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</si>
  <si>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</si>
  <si>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</si>
  <si>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</si>
  <si>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</si>
  <si>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</si>
  <si>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</si>
  <si>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</si>
  <si>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</si>
  <si>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</si>
  <si>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</si>
  <si>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</si>
  <si>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</si>
  <si>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</si>
  <si>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</si>
  <si>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</si>
  <si>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</si>
  <si>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</si>
  <si>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</si>
  <si>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</si>
  <si>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</si>
  <si>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</si>
  <si>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</si>
  <si>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</si>
  <si>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</si>
  <si>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</si>
  <si>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</si>
  <si>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</si>
  <si>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</si>
  <si>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</si>
  <si>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</si>
  <si>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</si>
  <si>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</si>
  <si>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</si>
  <si>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</si>
  <si>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</si>
  <si>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</si>
  <si>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</si>
  <si>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</si>
  <si>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</si>
  <si>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</si>
  <si>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</si>
  <si>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</si>
  <si>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</si>
  <si>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</si>
  <si>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</si>
  <si>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</si>
  <si>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</si>
  <si>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</si>
  <si>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</si>
  <si>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</si>
  <si>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</si>
  <si>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</si>
  <si>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</si>
  <si>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</si>
  <si>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</si>
  <si>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</si>
  <si>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</si>
  <si>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</si>
  <si>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</si>
  <si>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</si>
  <si>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</si>
  <si>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</si>
  <si>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</si>
  <si>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</si>
  <si>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</si>
  <si>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</si>
  <si>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</si>
  <si>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</si>
  <si>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</si>
  <si>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</si>
  <si>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</si>
  <si>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</si>
  <si>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</si>
  <si>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</si>
  <si>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</si>
  <si>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</si>
  <si>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</si>
  <si>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</si>
  <si>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</si>
  <si>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</si>
  <si>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</si>
  <si>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</si>
  <si>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</si>
  <si>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</si>
  <si>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</si>
  <si>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</si>
  <si>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</si>
  <si>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</si>
  <si>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</si>
  <si>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</si>
  <si>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</si>
  <si>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</si>
  <si>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</si>
  <si>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</si>
  <si>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</si>
  <si>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</si>
  <si>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</si>
  <si>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</si>
  <si>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</si>
  <si>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</si>
  <si>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</si>
  <si>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</si>
  <si>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</si>
  <si>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</si>
  <si>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</si>
  <si>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</si>
  <si>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</si>
  <si>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</si>
  <si>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</si>
  <si>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</si>
  <si>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</si>
  <si>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</si>
  <si>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</si>
  <si>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</si>
  <si>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</si>
  <si>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</si>
  <si>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</si>
  <si>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</si>
  <si>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</si>
  <si>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</si>
  <si>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</si>
  <si>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</si>
  <si>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</si>
  <si>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</si>
  <si>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</si>
  <si>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</si>
  <si>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</si>
  <si>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</si>
  <si>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</si>
  <si>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</si>
  <si>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</si>
  <si>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</si>
  <si>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</si>
  <si>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</si>
  <si>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</si>
  <si>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</si>
  <si>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</si>
  <si>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</si>
  <si>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</si>
  <si>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</si>
  <si>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</si>
  <si>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</si>
  <si>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</si>
  <si>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</si>
  <si>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</si>
  <si>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</si>
  <si>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</si>
  <si>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</si>
  <si>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</si>
  <si>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</si>
  <si>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</si>
  <si>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</si>
  <si>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</si>
  <si>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</si>
  <si>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</si>
  <si>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</si>
  <si>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</si>
  <si>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</si>
  <si>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</si>
  <si>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</si>
  <si>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</si>
  <si>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</si>
  <si>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</si>
  <si>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</si>
  <si>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</si>
  <si>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</si>
  <si>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</si>
  <si>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</si>
  <si>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</si>
  <si>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</si>
  <si>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</si>
  <si>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</si>
  <si>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</si>
  <si>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</si>
  <si>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</si>
  <si>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</si>
  <si>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</si>
  <si>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</si>
  <si>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</si>
  <si>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</si>
  <si>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</si>
  <si>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</si>
  <si>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</si>
  <si>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</si>
  <si>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</si>
  <si>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</si>
  <si>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</si>
  <si>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</si>
  <si>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</si>
  <si>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</si>
  <si>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</si>
  <si>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</si>
  <si>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</si>
  <si>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</si>
  <si>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</si>
  <si>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</si>
  <si>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</si>
  <si>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</si>
  <si>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</si>
  <si>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</si>
  <si>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</si>
  <si>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</si>
  <si>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</si>
  <si>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</si>
  <si>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</si>
  <si>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</si>
  <si>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</si>
  <si>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</si>
  <si>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</si>
  <si>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</si>
  <si>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</si>
  <si>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</si>
  <si>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</si>
  <si>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</si>
  <si>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</si>
  <si>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</si>
  <si>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</si>
  <si>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</si>
  <si>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</si>
  <si>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</si>
  <si>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</si>
  <si>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</si>
  <si>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</si>
  <si>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</si>
  <si>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</si>
  <si>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</si>
  <si>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</si>
  <si>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</si>
  <si>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</si>
  <si>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</si>
  <si>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</si>
  <si>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</si>
  <si>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</si>
  <si>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</si>
  <si>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</si>
  <si>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</si>
  <si>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</si>
  <si>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</si>
  <si>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</si>
  <si>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</si>
  <si>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</si>
  <si>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</si>
  <si>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</si>
  <si>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</si>
  <si>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</si>
  <si>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</si>
  <si>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</si>
  <si>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</si>
  <si>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</si>
  <si>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</si>
  <si>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</si>
  <si>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</si>
  <si>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</si>
  <si>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</si>
  <si>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</si>
  <si>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</si>
  <si>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</si>
  <si>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</si>
  <si>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</si>
  <si>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</si>
  <si>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</si>
  <si>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</si>
  <si>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</si>
  <si>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</si>
  <si>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</si>
  <si>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</si>
  <si>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</si>
  <si>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</si>
  <si>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</si>
  <si>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</si>
  <si>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</si>
  <si>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</si>
  <si>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</si>
  <si>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</si>
  <si>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</si>
  <si>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</si>
  <si>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</si>
  <si>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</si>
  <si>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</si>
  <si>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</si>
  <si>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</si>
  <si>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</si>
  <si>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</si>
  <si>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</si>
  <si>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</si>
  <si>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</si>
  <si>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</si>
  <si>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</si>
  <si>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</si>
  <si>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</si>
  <si>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</si>
  <si>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</si>
  <si>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</si>
  <si>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</si>
  <si>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</si>
  <si>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</si>
  <si>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</si>
  <si>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</si>
  <si>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</si>
  <si>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</si>
  <si>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</si>
  <si>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</si>
  <si>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</si>
  <si>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</si>
  <si>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</si>
  <si>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</si>
  <si>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</si>
  <si>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</si>
  <si>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</si>
  <si>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</si>
  <si>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</si>
  <si>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</si>
  <si>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</si>
  <si>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</si>
  <si>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</si>
  <si>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</si>
  <si>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</si>
  <si>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</si>
  <si>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</si>
  <si>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</si>
  <si>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</si>
  <si>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</si>
  <si>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</si>
  <si>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</si>
  <si>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</si>
  <si>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</si>
  <si>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</si>
  <si>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</si>
  <si>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</si>
  <si>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</si>
  <si>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</si>
  <si>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</si>
  <si>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</si>
  <si>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</si>
  <si>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</si>
  <si>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</si>
  <si>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</si>
  <si>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</si>
  <si>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</si>
  <si>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</si>
  <si>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</si>
  <si>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</si>
  <si>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</si>
  <si>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</si>
  <si>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</si>
  <si>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</si>
  <si>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</si>
  <si>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</si>
  <si>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</si>
  <si>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</si>
  <si>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</si>
  <si>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</si>
  <si>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</si>
  <si>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</si>
  <si>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</si>
  <si>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</si>
  <si>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</si>
  <si>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</si>
  <si>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</si>
  <si>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</si>
  <si>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</si>
  <si>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</si>
  <si>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</si>
  <si>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</si>
  <si>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</si>
  <si>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</si>
  <si>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</si>
  <si>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</si>
  <si>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</si>
  <si>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</si>
  <si>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</si>
  <si>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</si>
  <si>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</si>
  <si>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</si>
  <si>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</si>
  <si>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</si>
  <si>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</si>
  <si>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</si>
  <si>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</si>
  <si>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</si>
  <si>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</si>
  <si>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</si>
  <si>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</si>
  <si>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</si>
  <si>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</si>
  <si>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</si>
  <si>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</si>
  <si>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</si>
  <si>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</si>
  <si>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</si>
  <si>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</si>
  <si>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</si>
  <si>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</si>
  <si>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</si>
  <si>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</si>
  <si>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</si>
  <si>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</si>
  <si>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</si>
  <si>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</si>
  <si>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</si>
  <si>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</si>
  <si>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</si>
  <si>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</si>
  <si>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</si>
  <si>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</si>
  <si>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</si>
  <si>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</si>
  <si>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</si>
  <si>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</si>
  <si>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</si>
  <si>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</si>
  <si>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</si>
  <si>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</si>
  <si>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</si>
  <si>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</si>
  <si>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</si>
  <si>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</si>
  <si>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</si>
  <si>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</si>
  <si>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</si>
  <si>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</si>
  <si>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</si>
  <si>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</si>
  <si>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</si>
  <si>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</si>
  <si>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</si>
  <si>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</si>
  <si>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</si>
  <si>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</si>
  <si>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</si>
  <si>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</si>
  <si>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</si>
  <si>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</si>
  <si>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</si>
  <si>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</si>
  <si>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</si>
  <si>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</si>
  <si>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</si>
  <si>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</si>
  <si>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</si>
  <si>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</si>
  <si>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</si>
  <si>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</si>
  <si>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</si>
  <si>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</si>
  <si>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</si>
  <si>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</si>
  <si>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</si>
  <si>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</si>
  <si>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</si>
  <si>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</si>
  <si>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</si>
  <si>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</si>
  <si>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</si>
  <si>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</si>
  <si>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</si>
  <si>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</si>
  <si>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</si>
  <si>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</si>
  <si>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</si>
  <si>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</si>
  <si>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</si>
  <si>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</si>
  <si>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</si>
  <si>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</si>
  <si>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</si>
  <si>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</si>
  <si>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</si>
  <si>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</si>
  <si>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</si>
  <si>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</si>
  <si>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</si>
  <si>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</si>
  <si>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</si>
  <si>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</si>
  <si>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</si>
  <si>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</si>
  <si>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</si>
  <si>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</si>
  <si>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</si>
  <si>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</si>
  <si>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</si>
  <si>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</si>
  <si>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</si>
  <si>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</si>
  <si>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</si>
  <si>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</si>
  <si>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</si>
  <si>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</si>
  <si>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</si>
  <si>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</si>
  <si>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</si>
  <si>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</si>
  <si>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</si>
  <si>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</si>
  <si>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</si>
  <si>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</si>
  <si>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</si>
  <si>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</si>
  <si>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</si>
  <si>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</si>
  <si>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</si>
  <si>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</si>
  <si>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</si>
  <si>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</si>
  <si>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</si>
  <si>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</si>
  <si>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</si>
  <si>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</si>
  <si>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</si>
  <si>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</si>
  <si>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</si>
  <si>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</si>
  <si>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</si>
  <si>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</si>
  <si>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</si>
  <si>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</si>
  <si>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</si>
  <si>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</si>
  <si>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</si>
  <si>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</si>
  <si>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</si>
  <si>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</si>
  <si>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</si>
  <si>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</si>
  <si>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</si>
  <si>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</si>
  <si>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</si>
  <si>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</si>
  <si>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</si>
  <si>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</si>
  <si>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</si>
  <si>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</si>
  <si>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</si>
  <si>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</si>
  <si>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</si>
  <si>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</si>
  <si>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</si>
  <si>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</si>
  <si>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</si>
  <si>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</si>
  <si>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</si>
  <si>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</si>
  <si>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</si>
  <si>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</si>
  <si>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</si>
  <si>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</si>
  <si>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</si>
  <si>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</si>
  <si>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</si>
  <si>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</si>
  <si>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</si>
  <si>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</si>
  <si>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</si>
  <si>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</si>
  <si>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</si>
  <si>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</si>
  <si>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</si>
  <si>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</si>
  <si>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</si>
  <si>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</si>
  <si>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</si>
  <si>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</si>
  <si>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</si>
  <si>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</si>
  <si>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</si>
  <si>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</si>
  <si>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</si>
  <si>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</si>
  <si>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</si>
  <si>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</si>
  <si>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</si>
  <si>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</si>
  <si>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</si>
  <si>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</si>
  <si>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</si>
  <si>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</si>
  <si>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</si>
  <si>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</si>
  <si>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</si>
  <si>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</si>
  <si>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</si>
  <si>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</si>
  <si>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</si>
  <si>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</si>
  <si>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</si>
  <si>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</si>
  <si>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</si>
  <si>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</si>
  <si>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</si>
  <si>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</si>
  <si>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</si>
  <si>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</si>
  <si>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</si>
  <si>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</si>
  <si>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</si>
  <si>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</si>
  <si>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</si>
  <si>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</si>
  <si>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</si>
  <si>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</si>
  <si>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</si>
  <si>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</si>
  <si>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</si>
  <si>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</si>
  <si>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</si>
  <si>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</si>
  <si>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</si>
  <si>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</si>
  <si>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</si>
  <si>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</si>
  <si>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</si>
  <si>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</si>
  <si>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</si>
  <si>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</si>
  <si>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</si>
  <si>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</si>
  <si>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</si>
  <si>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</si>
  <si>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</si>
  <si>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</si>
  <si>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</si>
  <si>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</si>
  <si>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</si>
  <si>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</si>
  <si>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</si>
  <si>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</si>
  <si>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</si>
  <si>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</si>
  <si>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</si>
  <si>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</si>
  <si>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</si>
  <si>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</si>
  <si>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</si>
  <si>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</si>
  <si>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</si>
  <si>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</si>
  <si>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</si>
  <si>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</si>
  <si>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</si>
  <si>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</si>
  <si>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</si>
  <si>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</si>
  <si>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</si>
  <si>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</si>
  <si>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</si>
  <si>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</si>
  <si>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</si>
  <si>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</si>
  <si>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</si>
  <si>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</si>
  <si>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</si>
  <si>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</si>
  <si>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</si>
  <si>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</si>
  <si>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</si>
  <si>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</si>
  <si>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</si>
  <si>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</si>
  <si>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</si>
  <si>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</si>
  <si>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</si>
  <si>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</si>
  <si>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</si>
  <si>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</si>
  <si>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</si>
  <si>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</si>
  <si>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</si>
  <si>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</si>
  <si>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</si>
  <si>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</si>
  <si>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</si>
  <si>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</si>
  <si>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</si>
  <si>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</si>
  <si>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</si>
  <si>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</si>
  <si>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</si>
  <si>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</si>
  <si>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</si>
  <si>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</si>
  <si>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</si>
  <si>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</si>
  <si>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</si>
  <si>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</si>
  <si>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</si>
  <si>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</si>
  <si>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</si>
  <si>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</si>
  <si>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</si>
  <si>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</si>
  <si>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</si>
  <si>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</si>
  <si>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</si>
  <si>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</si>
  <si>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</si>
  <si>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</si>
  <si>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</si>
  <si>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</si>
  <si>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</si>
  <si>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</si>
  <si>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</si>
  <si>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</si>
  <si>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</si>
  <si>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</si>
  <si>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</si>
  <si>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</si>
  <si>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</si>
  <si>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</si>
  <si>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</si>
  <si>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</si>
  <si>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</si>
  <si>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</si>
  <si>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</si>
  <si>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</si>
  <si>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</si>
  <si>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</si>
  <si>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</si>
  <si>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</si>
  <si>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</si>
  <si>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</si>
  <si>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</si>
  <si>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</si>
  <si>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</si>
  <si>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</si>
  <si>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</si>
  <si>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</si>
  <si>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</si>
  <si>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</si>
  <si>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</si>
  <si>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</si>
  <si>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</si>
  <si>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</si>
  <si>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</si>
  <si>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</si>
  <si>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</si>
  <si>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</si>
  <si>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</si>
  <si>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</si>
  <si>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</si>
  <si>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</si>
  <si>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</si>
  <si>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</si>
  <si>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</si>
  <si>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</si>
  <si>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</si>
  <si>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</si>
  <si>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</si>
  <si>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</si>
  <si>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</si>
  <si>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</si>
  <si>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</si>
  <si>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</si>
  <si>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</si>
  <si>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</si>
  <si>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</si>
  <si>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</si>
  <si>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</si>
  <si>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</si>
  <si>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</si>
  <si>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</si>
  <si>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</si>
  <si>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</si>
  <si>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</si>
  <si>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</si>
  <si>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</si>
  <si>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</si>
  <si>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</si>
  <si>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</si>
  <si>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</si>
  <si>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</si>
  <si>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</si>
  <si>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</si>
  <si>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</si>
  <si>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</si>
  <si>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</si>
  <si>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</si>
  <si>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</si>
  <si>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</si>
  <si>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</si>
  <si>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</si>
  <si>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</si>
  <si>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</si>
  <si>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</si>
  <si>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</si>
  <si>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</si>
  <si>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</si>
  <si>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</si>
  <si>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</si>
  <si>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</si>
  <si>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</si>
  <si>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</si>
  <si>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</si>
  <si>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</si>
  <si>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</si>
  <si>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</si>
  <si>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</si>
  <si>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</si>
  <si>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</si>
  <si>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</si>
  <si>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</si>
  <si>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</si>
  <si>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</si>
  <si>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</si>
  <si>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</si>
  <si>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</si>
  <si>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</si>
  <si>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</si>
  <si>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</si>
  <si>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</si>
  <si>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</si>
  <si>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</si>
  <si>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</si>
  <si>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</si>
  <si>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</si>
  <si>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</si>
  <si>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</si>
  <si>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</si>
  <si>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</si>
  <si>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</si>
  <si>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</si>
  <si>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</si>
  <si>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</si>
  <si>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</si>
  <si>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</si>
  <si>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</si>
  <si>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</si>
  <si>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</si>
  <si>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</si>
  <si>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</si>
  <si>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</si>
  <si>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</si>
  <si>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</si>
  <si>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</si>
  <si>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</si>
  <si>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</si>
  <si>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</si>
  <si>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</si>
  <si>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</si>
  <si>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</si>
  <si>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</si>
  <si>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</si>
  <si>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</si>
  <si>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</si>
  <si>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</si>
  <si>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</si>
  <si>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</si>
  <si>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</si>
  <si>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</si>
  <si>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</si>
  <si>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</si>
  <si>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</si>
  <si>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</si>
  <si>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</si>
  <si>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</si>
  <si>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</si>
  <si>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</si>
  <si>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</si>
  <si>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</si>
  <si>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</si>
  <si>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</si>
  <si>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</si>
  <si>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</si>
  <si>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</si>
  <si>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</si>
  <si>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</si>
  <si>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</si>
  <si>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</si>
  <si>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</si>
  <si>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</si>
  <si>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</si>
  <si>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</si>
  <si>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</si>
  <si>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</si>
  <si>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</si>
  <si>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</si>
  <si>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</si>
  <si>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</si>
  <si>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</si>
  <si>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</si>
  <si>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</si>
  <si>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</si>
  <si>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</si>
  <si>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</si>
  <si>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</si>
  <si>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</si>
  <si>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</si>
  <si>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</si>
  <si>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</si>
  <si>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</si>
  <si>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</si>
  <si>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</si>
  <si>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</si>
  <si>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</si>
  <si>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</si>
  <si>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</si>
  <si>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</si>
  <si>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</si>
  <si>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</si>
  <si>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</si>
  <si>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</si>
  <si>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</si>
  <si>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</si>
  <si>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</si>
  <si>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</si>
  <si>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</si>
  <si>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</si>
  <si>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</si>
  <si>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</si>
  <si>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</si>
  <si>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</si>
  <si>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</si>
  <si>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</si>
  <si>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</si>
  <si>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</si>
  <si>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</si>
  <si>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</si>
  <si>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</si>
  <si>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</si>
  <si>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</si>
  <si>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</si>
  <si>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</si>
  <si>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</si>
  <si>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</si>
  <si>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</si>
  <si>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</si>
  <si>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</si>
  <si>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</si>
  <si>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</si>
  <si>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</si>
  <si>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</si>
  <si>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</si>
  <si>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</si>
  <si>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</si>
  <si>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</si>
  <si>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</si>
  <si>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</si>
  <si>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</si>
  <si>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</si>
  <si>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</si>
  <si>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</si>
  <si>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</si>
  <si>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</si>
  <si>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</si>
  <si>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</si>
  <si>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</si>
  <si>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</si>
  <si>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</si>
  <si>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</si>
  <si>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</si>
  <si>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</si>
  <si>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</si>
  <si>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</si>
  <si>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</si>
  <si>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</si>
  <si>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</si>
  <si>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</si>
  <si>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</si>
  <si>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</si>
  <si>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</si>
  <si>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</si>
  <si>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</si>
  <si>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</si>
  <si>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</si>
  <si>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</si>
  <si>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</si>
  <si>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</si>
  <si>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</si>
  <si>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</si>
  <si>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</si>
  <si>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</si>
  <si>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</si>
  <si>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</si>
  <si>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</si>
  <si>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</si>
  <si>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</si>
  <si>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</si>
  <si>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</si>
  <si>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</si>
  <si>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</si>
  <si>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</si>
  <si>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</si>
  <si>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</si>
  <si>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</si>
  <si>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</si>
  <si>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</si>
  <si>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</si>
  <si>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</si>
  <si>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</si>
  <si>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</si>
  <si>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</si>
  <si>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</si>
  <si>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</si>
  <si>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</si>
  <si>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</si>
  <si>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</si>
  <si>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</si>
  <si>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</si>
  <si>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</si>
  <si>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</si>
  <si>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</si>
  <si>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</si>
  <si>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</si>
  <si>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</si>
  <si>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</si>
  <si>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</si>
  <si>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</si>
  <si>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</si>
  <si>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</si>
  <si>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</si>
  <si>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</si>
  <si>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</si>
  <si>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</si>
  <si>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</si>
  <si>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</si>
  <si>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</si>
  <si>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</si>
  <si>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</si>
  <si>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</si>
  <si>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</si>
  <si>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</si>
  <si>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</si>
  <si>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</si>
  <si>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</si>
  <si>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</si>
  <si>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</si>
  <si>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</si>
  <si>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</si>
  <si>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</si>
  <si>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</si>
  <si>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</si>
  <si>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</si>
  <si>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</si>
  <si>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</si>
  <si>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</si>
  <si>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</si>
  <si>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</si>
  <si>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</si>
  <si>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</si>
  <si>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</si>
  <si>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</si>
  <si>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</si>
  <si>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</si>
  <si>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</si>
  <si>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</si>
  <si>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</si>
  <si>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</si>
  <si>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</si>
  <si>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</si>
  <si>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</si>
  <si>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</si>
  <si>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</si>
  <si>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</si>
  <si>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</si>
  <si>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</si>
  <si>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</si>
  <si>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</si>
  <si>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</si>
  <si>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</si>
  <si>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</si>
  <si>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</si>
  <si>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</si>
  <si>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</si>
  <si>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</si>
  <si>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</si>
  <si>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</si>
  <si>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</si>
  <si>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</si>
  <si>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</si>
  <si>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</si>
  <si>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</si>
  <si>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</si>
  <si>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</si>
  <si>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</si>
  <si>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</si>
  <si>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</si>
  <si>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</si>
  <si>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</si>
  <si>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</si>
  <si>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</si>
  <si>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</si>
  <si>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</si>
  <si>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</si>
  <si>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</si>
  <si>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</si>
  <si>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</si>
  <si>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</si>
  <si>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</si>
  <si>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</si>
  <si>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</si>
  <si>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</si>
  <si>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</si>
  <si>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</si>
  <si>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</si>
  <si>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</si>
  <si>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</si>
  <si>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</si>
  <si>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</si>
  <si>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</si>
  <si>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</si>
  <si>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</si>
  <si>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</si>
  <si>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</si>
  <si>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</si>
  <si>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</si>
  <si>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</si>
  <si>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</si>
  <si>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</si>
  <si>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</si>
  <si>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</si>
  <si>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</si>
  <si>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</si>
  <si>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</si>
  <si>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</si>
  <si>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</si>
  <si>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</si>
  <si>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</si>
  <si>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</si>
  <si>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</si>
  <si>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</si>
  <si>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</si>
  <si>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</si>
  <si>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</si>
  <si>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</si>
  <si>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</si>
  <si>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</si>
  <si>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</si>
  <si>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</si>
  <si>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</si>
  <si>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</si>
  <si>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</si>
  <si>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</si>
  <si>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</si>
  <si>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</si>
  <si>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</si>
  <si>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</si>
  <si>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</si>
  <si>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</si>
  <si>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</si>
  <si>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</si>
  <si>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</si>
  <si>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</si>
  <si>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</si>
  <si>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</si>
  <si>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</si>
  <si>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</si>
  <si>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</si>
  <si>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</si>
  <si>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</si>
  <si>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</si>
  <si>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</si>
  <si>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</si>
  <si>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</si>
  <si>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</si>
  <si>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</si>
  <si>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</si>
  <si>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</si>
  <si>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</si>
  <si>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</si>
  <si>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</si>
  <si>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</si>
  <si>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</si>
  <si>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</si>
  <si>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</si>
  <si>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</si>
  <si>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</si>
  <si>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</si>
  <si>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</si>
  <si>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</si>
  <si>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</si>
  <si>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</si>
  <si>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</si>
  <si>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</si>
  <si>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</si>
  <si>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</si>
  <si>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</si>
  <si>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</si>
  <si>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</si>
  <si>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</si>
  <si>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</si>
  <si>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</si>
  <si>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</si>
  <si>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</si>
  <si>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</si>
  <si>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</si>
  <si>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</si>
  <si>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</si>
  <si>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</si>
  <si>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</si>
  <si>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</si>
  <si>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</si>
  <si>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</si>
  <si>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</si>
  <si>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</si>
  <si>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</si>
  <si>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</si>
  <si>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</si>
  <si>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</si>
  <si>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</si>
  <si>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</si>
  <si>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</si>
  <si>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</si>
  <si>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</si>
  <si>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</si>
  <si>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</si>
  <si>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</si>
  <si>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</si>
  <si>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</si>
  <si>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</si>
  <si>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</si>
  <si>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</si>
  <si>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</si>
  <si>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</si>
  <si>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</si>
  <si>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</si>
  <si>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</si>
  <si>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</si>
  <si>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</si>
  <si>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</si>
  <si>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</si>
  <si>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</si>
  <si>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</si>
  <si>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</si>
  <si>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</si>
  <si>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</si>
  <si>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</si>
  <si>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</si>
  <si>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</si>
  <si>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</si>
  <si>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</si>
  <si>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</si>
  <si>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</si>
  <si>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</si>
  <si>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</si>
  <si>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</si>
  <si>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</si>
  <si>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</si>
  <si>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</si>
  <si>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</si>
  <si>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</si>
  <si>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</si>
  <si>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</si>
  <si>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</si>
  <si>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</si>
  <si>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</si>
  <si>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</si>
  <si>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</si>
  <si>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</si>
  <si>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</si>
  <si>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</si>
  <si>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</si>
  <si>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</si>
  <si>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</si>
  <si>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</si>
  <si>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</si>
  <si>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</si>
  <si>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</si>
  <si>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</si>
  <si>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</si>
  <si>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</si>
  <si>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</si>
  <si>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</si>
  <si>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</si>
  <si>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</si>
  <si>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</si>
  <si>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</si>
  <si>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</si>
  <si>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</si>
  <si>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</si>
  <si>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</si>
  <si>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</si>
  <si>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</si>
  <si>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</si>
  <si>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</si>
  <si>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</si>
  <si>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</si>
  <si>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</si>
  <si>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</si>
  <si>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</si>
  <si>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</si>
  <si>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</si>
  <si>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</si>
  <si>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</si>
  <si>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</si>
  <si>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</si>
  <si>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</si>
  <si>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</si>
  <si>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</si>
  <si>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</si>
  <si>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</si>
  <si>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</si>
  <si>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</si>
  <si>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</si>
  <si>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</si>
  <si>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</si>
  <si>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</si>
  <si>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</si>
  <si>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</si>
  <si>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</si>
  <si>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</si>
  <si>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</si>
  <si>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</si>
  <si>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</si>
  <si>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</si>
  <si>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</si>
  <si>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</si>
  <si>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</si>
  <si>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</si>
  <si>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</si>
  <si>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</si>
  <si>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</si>
  <si>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</si>
  <si>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</si>
  <si>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</si>
  <si>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</si>
  <si>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</si>
  <si>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</si>
  <si>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</si>
  <si>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</si>
  <si>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</si>
  <si>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</si>
  <si>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</si>
  <si>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</si>
  <si>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</si>
  <si>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</si>
  <si>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</si>
  <si>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</si>
  <si>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</si>
  <si>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</si>
  <si>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</si>
  <si>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</si>
  <si>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</si>
  <si>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</si>
  <si>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</si>
  <si>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</si>
  <si>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</si>
  <si>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</si>
  <si>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</si>
  <si>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</si>
  <si>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</si>
  <si>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</si>
  <si>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</si>
  <si>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</si>
  <si>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</si>
  <si>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</si>
  <si>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</si>
  <si>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</si>
  <si>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</si>
  <si>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</si>
  <si>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</si>
  <si>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</si>
  <si>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</si>
  <si>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</si>
  <si>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</si>
  <si>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</si>
  <si>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</si>
  <si>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</si>
  <si>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</si>
  <si>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</si>
  <si>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</si>
  <si>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</si>
  <si>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</si>
  <si>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</si>
  <si>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</si>
  <si>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</si>
  <si>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</si>
  <si>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</si>
  <si>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</si>
  <si>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</si>
  <si>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</si>
  <si>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</si>
  <si>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</si>
  <si>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</si>
  <si>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</si>
  <si>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</si>
  <si>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</si>
  <si>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</si>
  <si>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</si>
  <si>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</si>
  <si>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</si>
  <si>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</si>
  <si>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</si>
  <si>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</si>
  <si>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</si>
  <si>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</si>
  <si>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</si>
  <si>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</si>
  <si>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</si>
  <si>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</si>
  <si>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</si>
  <si>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</si>
  <si>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</si>
  <si>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</si>
  <si>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</si>
  <si>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</si>
  <si>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</si>
  <si>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</si>
  <si>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</si>
  <si>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</si>
  <si>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</si>
  <si>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</si>
  <si>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</si>
  <si>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</si>
  <si>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</si>
  <si>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</si>
  <si>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</si>
  <si>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</si>
  <si>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</si>
  <si>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</si>
  <si>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</si>
  <si>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</si>
  <si>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</si>
  <si>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</si>
  <si>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</si>
  <si>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</si>
  <si>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</si>
  <si>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</si>
  <si>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</si>
  <si>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</si>
  <si>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</si>
  <si>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</si>
  <si>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</si>
  <si>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</si>
  <si>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</si>
  <si>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</si>
  <si>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</si>
  <si>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</si>
  <si>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</si>
  <si>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</si>
  <si>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</si>
  <si>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</si>
  <si>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</si>
  <si>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</si>
  <si>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</si>
  <si>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</si>
  <si>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</si>
  <si>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</si>
  <si>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</si>
  <si>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</si>
  <si>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</si>
  <si>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</si>
  <si>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</si>
  <si>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</si>
  <si>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</si>
  <si>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</si>
  <si>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</si>
  <si>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</si>
  <si>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</si>
  <si>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</si>
  <si>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</si>
  <si>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</si>
  <si>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</si>
  <si>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</si>
  <si>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</si>
  <si>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</si>
  <si>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</si>
  <si>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</si>
  <si>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</si>
  <si>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</si>
  <si>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</si>
  <si>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</si>
  <si>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</si>
  <si>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</si>
  <si>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</si>
  <si>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</si>
  <si>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</si>
  <si>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</si>
  <si>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</si>
  <si>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</si>
  <si>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</si>
  <si>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</si>
  <si>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</si>
  <si>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</si>
  <si>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</si>
  <si>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</si>
  <si>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</si>
  <si>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</si>
  <si>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</si>
  <si>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</si>
  <si>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</si>
  <si>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</si>
  <si>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</si>
  <si>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</si>
  <si>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</si>
  <si>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</si>
  <si>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</si>
  <si>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</si>
  <si>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</si>
  <si>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</si>
  <si>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</si>
  <si>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</si>
  <si>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</si>
  <si>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</si>
  <si>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</si>
  <si>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</si>
  <si>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</si>
  <si>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</si>
  <si>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</si>
  <si>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</si>
  <si>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</si>
  <si>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</si>
  <si>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</si>
  <si>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</si>
  <si>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</si>
  <si>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</si>
  <si>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</si>
  <si>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</si>
  <si>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</si>
  <si>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</si>
  <si>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</si>
  <si>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</si>
  <si>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</si>
  <si>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</si>
  <si>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</si>
  <si>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</si>
  <si>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</si>
  <si>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</si>
  <si>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</si>
  <si>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</si>
  <si>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</si>
  <si>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</si>
  <si>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</si>
  <si>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</si>
  <si>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</si>
  <si>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</si>
  <si>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</si>
  <si>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</si>
  <si>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</si>
  <si>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</si>
  <si>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</si>
  <si>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</si>
  <si>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</si>
  <si>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</si>
  <si>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</si>
  <si>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</si>
  <si>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</si>
  <si>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</si>
  <si>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</si>
  <si>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</si>
  <si>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</si>
  <si>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</si>
  <si>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</si>
  <si>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</si>
  <si>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</si>
  <si>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</si>
  <si>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</si>
  <si>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</si>
  <si>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</si>
  <si>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</si>
  <si>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</si>
  <si>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</si>
  <si>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</si>
  <si>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</si>
  <si>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</si>
  <si>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</si>
  <si>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</si>
  <si>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</si>
  <si>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</si>
  <si>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</si>
  <si>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</si>
  <si>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</si>
  <si>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</si>
  <si>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</si>
  <si>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</si>
  <si>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</si>
  <si>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</si>
  <si>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</si>
  <si>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</si>
  <si>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</si>
  <si>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</si>
  <si>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</si>
  <si>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</si>
  <si>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</si>
  <si>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</si>
  <si>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</si>
  <si>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</si>
  <si>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</si>
  <si>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</si>
  <si>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</si>
  <si>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</si>
  <si>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</si>
  <si>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</si>
  <si>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</si>
  <si>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</si>
  <si>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</si>
  <si>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</si>
  <si>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</si>
  <si>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</si>
  <si>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</si>
  <si>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</si>
  <si>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</si>
  <si>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</si>
  <si>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</si>
  <si>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</si>
  <si>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</si>
  <si>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</si>
  <si>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</si>
  <si>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</si>
  <si>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</si>
  <si>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</si>
  <si>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</si>
  <si>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</si>
  <si>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</si>
  <si>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</si>
  <si>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</si>
  <si>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</si>
  <si>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</si>
  <si>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</si>
  <si>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</si>
  <si>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</si>
  <si>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</si>
  <si>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</si>
  <si>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</si>
  <si>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</si>
  <si>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</si>
  <si>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</si>
  <si>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</si>
  <si>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</si>
  <si>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</si>
  <si>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</si>
  <si>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</si>
  <si>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</si>
  <si>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</si>
  <si>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</si>
  <si>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</si>
  <si>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</si>
  <si>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</si>
  <si>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</si>
  <si>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</si>
  <si>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</si>
  <si>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</si>
  <si>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</si>
  <si>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</si>
  <si>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</si>
  <si>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</si>
  <si>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</si>
  <si>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</si>
  <si>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</si>
  <si>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</si>
  <si>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</si>
  <si>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</si>
  <si>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</si>
  <si>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</si>
  <si>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</si>
  <si>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</si>
  <si>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</si>
  <si>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</si>
  <si>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</si>
  <si>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</si>
  <si>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</si>
  <si>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</si>
  <si>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</si>
  <si>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</si>
  <si>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</si>
  <si>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</si>
  <si>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</si>
  <si>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</si>
  <si>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</si>
  <si>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</si>
  <si>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</si>
  <si>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</si>
  <si>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</si>
  <si>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</si>
  <si>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</si>
  <si>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</si>
  <si>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</si>
  <si>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</si>
  <si>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</si>
  <si>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</si>
  <si>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</si>
  <si>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</si>
  <si>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</si>
  <si>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</si>
  <si>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</si>
  <si>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</si>
  <si>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</si>
  <si>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</si>
  <si>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</si>
  <si>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</si>
  <si>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</si>
  <si>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</si>
  <si>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</si>
  <si>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</si>
  <si>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</si>
  <si>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</si>
  <si>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</si>
  <si>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</si>
  <si>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</si>
  <si>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</si>
  <si>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</si>
  <si>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</si>
  <si>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</si>
  <si>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</si>
  <si>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</si>
  <si>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</si>
  <si>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</si>
  <si>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</si>
  <si>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</si>
  <si>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</si>
  <si>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</si>
  <si>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</si>
  <si>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</si>
  <si>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</si>
  <si>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</si>
  <si>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</si>
  <si>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</si>
  <si>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</si>
  <si>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</si>
  <si>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</si>
  <si>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</si>
  <si>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</si>
  <si>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</si>
  <si>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</si>
  <si>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</si>
  <si>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</si>
  <si>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</si>
  <si>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</si>
  <si>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</si>
  <si>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</si>
  <si>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</si>
  <si>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</si>
  <si>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</si>
  <si>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</si>
  <si>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</si>
  <si>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</si>
  <si>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</si>
  <si>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</si>
  <si>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</si>
  <si>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</si>
  <si>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</si>
  <si>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</si>
  <si>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</si>
  <si>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</si>
  <si>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</si>
  <si>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</si>
  <si>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</si>
  <si>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</si>
  <si>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</si>
  <si>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</si>
  <si>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</si>
  <si>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</si>
  <si>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</si>
  <si>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</si>
  <si>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</si>
  <si>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</si>
  <si>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</si>
  <si>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</si>
  <si>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</si>
  <si>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</si>
  <si>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</si>
  <si>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</si>
  <si>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</si>
  <si>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</si>
  <si>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</si>
  <si>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</si>
  <si>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</si>
  <si>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</si>
  <si>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</si>
  <si>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</si>
  <si>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</si>
  <si>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</si>
  <si>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</si>
  <si>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</si>
  <si>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</si>
  <si>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</si>
  <si>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</si>
  <si>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</si>
  <si>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</si>
  <si>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</si>
  <si>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</si>
  <si>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</si>
  <si>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</si>
  <si>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</si>
  <si>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</si>
  <si>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</si>
  <si>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</si>
  <si>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</si>
  <si>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</si>
  <si>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</si>
  <si>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</si>
  <si>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</si>
  <si>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</si>
  <si>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</si>
  <si>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</si>
  <si>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</si>
  <si>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</si>
  <si>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</si>
  <si>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</si>
  <si>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</si>
  <si>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</si>
  <si>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</si>
  <si>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</si>
  <si>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</si>
  <si>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</si>
  <si>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</si>
  <si>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</si>
  <si>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</si>
  <si>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</si>
  <si>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</si>
  <si>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</si>
  <si>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</si>
  <si>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</si>
  <si>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</si>
  <si>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</si>
  <si>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</si>
  <si>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</si>
  <si>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</si>
  <si>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</si>
  <si>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</si>
  <si>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</si>
  <si>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</si>
  <si>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</si>
  <si>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</si>
  <si>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</si>
  <si>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</si>
  <si>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</si>
  <si>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</si>
  <si>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</si>
  <si>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</si>
  <si>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</si>
  <si>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</si>
  <si>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</si>
  <si>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</si>
  <si>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</si>
  <si>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</si>
  <si>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</si>
  <si>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</si>
  <si>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</si>
  <si>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</si>
  <si>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</si>
  <si>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</si>
  <si>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</si>
  <si>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</si>
  <si>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</si>
  <si>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</si>
  <si>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</si>
  <si>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</si>
  <si>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</si>
  <si>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</si>
  <si>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</si>
  <si>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</si>
  <si>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</si>
  <si>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</si>
  <si>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</si>
  <si>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</si>
  <si>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</si>
  <si>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</si>
  <si>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</si>
  <si>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</si>
  <si>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</si>
  <si>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</si>
  <si>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</si>
  <si>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</si>
  <si>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</si>
  <si>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</si>
  <si>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</si>
  <si>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</si>
  <si>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</si>
  <si>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</si>
  <si>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</si>
  <si>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</si>
  <si>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</si>
  <si>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</si>
  <si>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</si>
  <si>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</si>
  <si>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</si>
  <si>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</si>
  <si>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</si>
  <si>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</si>
  <si>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</si>
  <si>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</si>
  <si>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</si>
  <si>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</si>
  <si>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</si>
  <si>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</si>
  <si>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</si>
  <si>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</si>
  <si>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</si>
  <si>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</si>
  <si>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</si>
  <si>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</si>
  <si>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</si>
  <si>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</si>
  <si>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</si>
  <si>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</si>
  <si>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</si>
  <si>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</si>
  <si>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</si>
  <si>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</si>
  <si>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</si>
  <si>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</si>
  <si>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</si>
  <si>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</si>
  <si>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</si>
  <si>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</si>
  <si>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</si>
  <si>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</si>
  <si>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</si>
  <si>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</si>
  <si>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</si>
  <si>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</si>
  <si>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</si>
  <si>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</si>
  <si>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</si>
  <si>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</si>
  <si>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</si>
  <si>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</si>
  <si>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</si>
  <si>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</si>
  <si>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</si>
  <si>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</si>
  <si>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</si>
  <si>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</si>
  <si>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</si>
  <si>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</si>
  <si>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</si>
  <si>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</si>
  <si>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</si>
  <si>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</si>
  <si>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</si>
  <si>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</si>
  <si>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</si>
  <si>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</si>
  <si>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</si>
  <si>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</si>
  <si>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</si>
  <si>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</si>
  <si>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</si>
  <si>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</si>
  <si>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</si>
  <si>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</si>
  <si>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</si>
  <si>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</si>
  <si>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</si>
  <si>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</si>
  <si>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</si>
  <si>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</si>
  <si>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</si>
  <si>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</si>
  <si>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</si>
  <si>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</si>
  <si>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</si>
  <si>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</si>
  <si>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</si>
  <si>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</si>
  <si>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</si>
  <si>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</si>
  <si>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</si>
  <si>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</si>
  <si>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</si>
  <si>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</si>
  <si>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</si>
  <si>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</si>
  <si>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</si>
  <si>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</si>
  <si>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</si>
  <si>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</si>
  <si>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</si>
  <si>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</si>
  <si>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</si>
  <si>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</si>
  <si>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</si>
  <si>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</si>
  <si>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</si>
  <si>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</si>
  <si>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</si>
  <si>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</si>
  <si>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</si>
  <si>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</si>
  <si>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</si>
  <si>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</si>
  <si>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</si>
  <si>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</si>
  <si>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</si>
  <si>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</si>
  <si>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</si>
  <si>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</si>
  <si>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</si>
  <si>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</si>
  <si>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</si>
  <si>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</si>
  <si>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</si>
  <si>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</si>
  <si>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</si>
  <si>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</si>
  <si>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</si>
  <si>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</si>
  <si>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</si>
  <si>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</si>
  <si>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</si>
  <si>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</si>
  <si>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</si>
  <si>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</si>
  <si>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</si>
  <si>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</si>
  <si>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</si>
  <si>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</si>
  <si>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</si>
  <si>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</si>
  <si>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</si>
  <si>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</si>
  <si>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</si>
  <si>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</si>
  <si>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</si>
  <si>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</si>
  <si>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</si>
  <si>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</si>
  <si>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</si>
  <si>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</si>
  <si>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</si>
  <si>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</si>
  <si>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</si>
  <si>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</si>
  <si>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</si>
  <si>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</si>
  <si>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</si>
  <si>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</si>
  <si>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</si>
  <si>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</si>
  <si>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</si>
  <si>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</si>
  <si>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</si>
  <si>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</si>
  <si>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</si>
  <si>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</si>
  <si>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</si>
  <si>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</si>
  <si>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</si>
  <si>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</si>
  <si>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</si>
  <si>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</si>
  <si>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</si>
  <si>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</si>
  <si>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</si>
  <si>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</si>
  <si>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</si>
  <si>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</si>
  <si>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</si>
  <si>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</si>
  <si>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</si>
  <si>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</si>
  <si>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</si>
  <si>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</si>
  <si>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</si>
  <si>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</si>
  <si>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</si>
  <si>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</si>
  <si>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</si>
  <si>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</si>
  <si>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</si>
  <si>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</si>
  <si>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</si>
  <si>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</si>
  <si>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</si>
  <si>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</si>
  <si>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</si>
  <si>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</si>
  <si>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</si>
  <si>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</si>
  <si>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</si>
  <si>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</si>
  <si>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</si>
  <si>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</si>
  <si>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</si>
  <si>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</si>
  <si>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</si>
  <si>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</si>
  <si>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</si>
  <si>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</si>
  <si>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</si>
  <si>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</si>
  <si>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</si>
  <si>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</si>
  <si>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</si>
  <si>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</si>
  <si>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</si>
  <si>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</si>
  <si>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</si>
  <si>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</si>
  <si>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</si>
  <si>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</si>
  <si>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</si>
  <si>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</si>
  <si>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</si>
  <si>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</si>
  <si>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</si>
  <si>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</si>
  <si>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</si>
  <si>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</si>
  <si>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</si>
  <si>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</si>
  <si>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</si>
  <si>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</si>
  <si>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</si>
  <si>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</si>
  <si>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</si>
  <si>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</si>
  <si>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</si>
  <si>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</si>
  <si>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</si>
  <si>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</si>
  <si>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</si>
  <si>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</si>
  <si>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</si>
  <si>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</si>
  <si>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</si>
  <si>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</si>
  <si>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</si>
  <si>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</si>
  <si>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</si>
  <si>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</si>
  <si>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</si>
  <si>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</si>
  <si>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</si>
  <si>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</si>
  <si>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</si>
  <si>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</si>
  <si>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</si>
  <si>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</si>
  <si>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</si>
  <si>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</si>
  <si>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</si>
  <si>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</si>
  <si>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</si>
  <si>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</si>
  <si>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</si>
  <si>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</si>
  <si>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</si>
  <si>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</si>
  <si>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</si>
  <si>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</si>
  <si>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</si>
  <si>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</si>
  <si>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</si>
  <si>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</si>
  <si>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</si>
  <si>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</si>
  <si>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</si>
  <si>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</si>
  <si>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</si>
  <si>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</si>
  <si>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</si>
  <si>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</si>
  <si>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</si>
  <si>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</si>
  <si>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</si>
  <si>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</si>
  <si>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</si>
  <si>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</si>
  <si>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</si>
  <si>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</si>
  <si>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</si>
  <si>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</si>
  <si>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</si>
  <si>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</si>
  <si>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</si>
  <si>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</si>
  <si>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</si>
  <si>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</si>
  <si>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</si>
  <si>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</si>
  <si>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</si>
  <si>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</si>
  <si>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</si>
  <si>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</si>
  <si>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</si>
  <si>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</si>
  <si>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</si>
  <si>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</si>
  <si>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</si>
  <si>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</si>
  <si>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</si>
  <si>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</si>
  <si>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</si>
  <si>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</si>
  <si>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</si>
  <si>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</si>
  <si>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</si>
  <si>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</si>
  <si>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</si>
  <si>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</si>
  <si>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</si>
  <si>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</si>
  <si>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</si>
  <si>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</si>
  <si>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</si>
  <si>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</si>
  <si>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</si>
  <si>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</si>
  <si>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</si>
  <si>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</si>
  <si>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</si>
  <si>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</si>
  <si>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</si>
  <si>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</si>
  <si>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</si>
  <si>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</si>
  <si>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</si>
  <si>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</si>
  <si>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</si>
  <si>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</si>
  <si>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</si>
  <si>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</si>
  <si>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</si>
  <si>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</si>
  <si>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</si>
  <si>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</si>
  <si>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</si>
  <si>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</si>
  <si>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</si>
  <si>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</si>
  <si>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</si>
  <si>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</si>
  <si>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</si>
  <si>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</si>
  <si>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</si>
  <si>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</si>
  <si>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</si>
  <si>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</si>
  <si>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</si>
  <si>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</si>
  <si>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</si>
  <si>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</si>
  <si>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</si>
  <si>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</si>
  <si>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</si>
  <si>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</si>
  <si>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</si>
  <si>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</si>
  <si>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</si>
  <si>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</si>
  <si>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</si>
  <si>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</si>
  <si>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</si>
  <si>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</si>
  <si>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</si>
  <si>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</si>
  <si>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</si>
  <si>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</si>
  <si>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</si>
  <si>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</si>
  <si>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</si>
  <si>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</si>
  <si>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</si>
  <si>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</si>
  <si>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</si>
  <si>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</si>
  <si>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</si>
  <si>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</si>
  <si>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</si>
  <si>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</si>
  <si>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</si>
  <si>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</si>
  <si>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</si>
  <si>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</si>
  <si>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</si>
  <si>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</si>
  <si>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</si>
  <si>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</si>
  <si>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</si>
  <si>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</si>
  <si>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</si>
  <si>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</si>
  <si>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</si>
  <si>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</si>
  <si>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</si>
  <si>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</si>
  <si>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</si>
  <si>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</si>
  <si>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</si>
  <si>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</si>
  <si>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</si>
  <si>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</si>
  <si>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</si>
  <si>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</si>
  <si>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</si>
  <si>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</si>
  <si>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</si>
  <si>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</si>
  <si>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</si>
  <si>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</si>
  <si>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</si>
  <si>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</si>
  <si>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</si>
  <si>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</si>
  <si>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</si>
  <si>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</si>
  <si>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</si>
  <si>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</si>
  <si>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</si>
  <si>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</si>
  <si>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</si>
  <si>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</si>
  <si>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</si>
  <si>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</si>
  <si>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</si>
  <si>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</si>
  <si>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</si>
  <si>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</si>
  <si>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</si>
  <si>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</si>
  <si>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</si>
  <si>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</si>
  <si>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</si>
  <si>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</si>
  <si>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</si>
  <si>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</si>
  <si>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</si>
  <si>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</si>
  <si>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</si>
  <si>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</si>
  <si>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</si>
  <si>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</si>
  <si>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</si>
  <si>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</si>
  <si>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</si>
  <si>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</si>
  <si>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</si>
  <si>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</si>
  <si>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</si>
  <si>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</si>
  <si>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</si>
  <si>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</si>
  <si>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</si>
  <si>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</si>
  <si>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</si>
  <si>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</si>
  <si>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</si>
  <si>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</si>
  <si>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</si>
  <si>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</si>
  <si>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</si>
  <si>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</si>
  <si>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</si>
  <si>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</si>
  <si>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</si>
  <si>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</si>
  <si>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</si>
  <si>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</si>
  <si>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</si>
  <si>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</si>
  <si>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</si>
  <si>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</si>
  <si>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</si>
  <si>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</si>
  <si>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</si>
  <si>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</si>
  <si>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</si>
  <si>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</si>
  <si>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</si>
  <si>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</si>
  <si>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</si>
  <si>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</si>
  <si>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</si>
  <si>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</si>
  <si>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</si>
  <si>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</si>
  <si>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</si>
  <si>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</si>
  <si>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</si>
  <si>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</si>
  <si>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</si>
  <si>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</si>
  <si>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</si>
  <si>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</si>
  <si>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</si>
  <si>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</si>
  <si>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</si>
  <si>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</si>
  <si>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</si>
  <si>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</si>
  <si>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</si>
  <si>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</si>
  <si>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</si>
  <si>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</si>
  <si>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</si>
  <si>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</si>
  <si>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</si>
  <si>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</si>
  <si>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</si>
  <si>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</si>
  <si>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</si>
  <si>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</si>
  <si>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</si>
  <si>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</si>
  <si>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</si>
  <si>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</si>
  <si>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</si>
  <si>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</si>
  <si>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</si>
  <si>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</si>
  <si>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</si>
  <si>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</si>
  <si>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</si>
  <si>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</si>
  <si>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</si>
  <si>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</si>
  <si>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</si>
  <si>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</si>
  <si>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</si>
  <si>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</si>
  <si>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</si>
  <si>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</si>
  <si>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</si>
  <si>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</si>
  <si>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</si>
  <si>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</si>
  <si>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</si>
  <si>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</si>
  <si>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</si>
  <si>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</si>
  <si>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</si>
  <si>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</si>
  <si>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</si>
  <si>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</si>
  <si>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</si>
  <si>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</si>
  <si>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</si>
  <si>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</si>
  <si>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</si>
  <si>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</si>
  <si>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</si>
  <si>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</si>
  <si>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</si>
  <si>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</si>
  <si>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</si>
  <si>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</si>
  <si>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</si>
  <si>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</si>
  <si>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</si>
  <si>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</si>
  <si>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</si>
  <si>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</si>
  <si>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</si>
  <si>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</si>
  <si>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</si>
  <si>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</si>
  <si>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</si>
  <si>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</si>
  <si>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</si>
  <si>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</si>
  <si>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</si>
  <si>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</si>
  <si>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</si>
  <si>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</si>
  <si>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</si>
  <si>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</si>
  <si>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</si>
  <si>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</si>
  <si>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</si>
  <si>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</si>
  <si>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</si>
  <si>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</si>
  <si>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</si>
  <si>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</si>
  <si>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</si>
  <si>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</si>
  <si>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</si>
  <si>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</si>
  <si>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</si>
  <si>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</si>
  <si>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</si>
  <si>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</si>
  <si>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</si>
  <si>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</si>
  <si>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</si>
  <si>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</si>
  <si>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</si>
  <si>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</si>
  <si>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</si>
  <si>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</si>
  <si>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</si>
  <si>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</si>
  <si>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</si>
  <si>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</si>
  <si>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</si>
  <si>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</si>
  <si>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</si>
  <si>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</si>
  <si>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</si>
  <si>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</si>
  <si>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</si>
  <si>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</si>
  <si>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</si>
  <si>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</si>
  <si>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</si>
  <si>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</si>
  <si>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</si>
  <si>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</si>
  <si>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</si>
  <si>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</si>
  <si>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</si>
  <si>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</si>
  <si>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</si>
  <si>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</si>
  <si>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</si>
  <si>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</si>
  <si>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</si>
  <si>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</si>
  <si>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</si>
  <si>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</si>
  <si>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</si>
  <si>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</si>
  <si>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</si>
  <si>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</si>
  <si>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</si>
  <si>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</si>
  <si>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</si>
  <si>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</si>
  <si>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</si>
  <si>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</si>
  <si>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</si>
  <si>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</si>
  <si>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</si>
  <si>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</si>
  <si>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</si>
  <si>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</si>
  <si>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</si>
  <si>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</si>
  <si>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</si>
  <si>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</si>
  <si>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</si>
  <si>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</si>
  <si>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</si>
  <si>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</si>
  <si>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</si>
  <si>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</si>
  <si>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</si>
  <si>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</si>
  <si>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</si>
  <si>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</si>
  <si>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</si>
  <si>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</si>
  <si>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</si>
  <si>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</si>
  <si>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</si>
  <si>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</si>
  <si>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</si>
  <si>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</si>
  <si>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</si>
  <si>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</si>
  <si>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</si>
  <si>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</si>
  <si>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</si>
  <si>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</si>
  <si>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</si>
  <si>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</si>
  <si>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</si>
  <si>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</si>
  <si>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</si>
  <si>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</si>
  <si>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</si>
  <si>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</si>
  <si>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</si>
  <si>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</si>
  <si>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</si>
  <si>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</si>
  <si>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</si>
  <si>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</si>
  <si>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</si>
  <si>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</si>
  <si>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</si>
  <si>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</si>
  <si>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</si>
  <si>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</si>
  <si>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</si>
  <si>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</si>
  <si>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</si>
  <si>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</si>
  <si>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</si>
  <si>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</si>
  <si>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</si>
  <si>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</si>
  <si>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</si>
  <si>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</si>
  <si>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</si>
  <si>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</si>
  <si>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</si>
  <si>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</si>
  <si>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</si>
  <si>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</si>
  <si>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</si>
  <si>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</si>
  <si>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</si>
  <si>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</si>
  <si>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</si>
  <si>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</si>
  <si>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</si>
  <si>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</si>
  <si>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</si>
  <si>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</si>
  <si>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</si>
  <si>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</si>
  <si>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</si>
  <si>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</si>
  <si>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</si>
  <si>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</si>
  <si>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</si>
  <si>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</si>
  <si>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</si>
  <si>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</si>
  <si>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</si>
  <si>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</si>
  <si>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</si>
  <si>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</si>
  <si>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</si>
  <si>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</si>
  <si>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</si>
  <si>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</si>
  <si>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</si>
  <si>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</si>
  <si>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</si>
  <si>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</si>
  <si>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</si>
  <si>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</si>
  <si>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</si>
  <si>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</si>
  <si>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</si>
  <si>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</si>
  <si>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</si>
  <si>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</si>
  <si>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</si>
  <si>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</si>
  <si>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</si>
  <si>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</si>
  <si>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</si>
  <si>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</si>
  <si>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</si>
  <si>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</si>
  <si>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</si>
  <si>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</si>
  <si>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</si>
  <si>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</si>
  <si>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</si>
  <si>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</si>
  <si>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</si>
  <si>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</si>
  <si>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</si>
  <si>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</si>
  <si>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</si>
  <si>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</si>
  <si>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</si>
  <si>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</si>
  <si>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</si>
  <si>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</si>
  <si>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</si>
  <si>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</si>
  <si>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</si>
  <si>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</si>
  <si>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</si>
  <si>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</si>
  <si>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</si>
  <si>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</si>
  <si>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</si>
  <si>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</si>
  <si>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</si>
  <si>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</si>
  <si>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</si>
  <si>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</si>
  <si>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</si>
  <si>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</si>
  <si>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</si>
  <si>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</si>
  <si>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</si>
  <si>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</si>
  <si>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</si>
  <si>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</si>
  <si>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</si>
  <si>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</si>
  <si>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</si>
  <si>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</si>
  <si>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</si>
  <si>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</si>
  <si>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</si>
  <si>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</si>
  <si>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</si>
  <si>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</si>
  <si>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</si>
  <si>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</si>
  <si>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</si>
  <si>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</si>
  <si>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</si>
  <si>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</si>
  <si>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</si>
  <si>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</si>
  <si>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</si>
  <si>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</si>
  <si>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</si>
  <si>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</si>
  <si>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</si>
  <si>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</si>
  <si>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</si>
  <si>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</si>
  <si>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</si>
  <si>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</si>
  <si>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</si>
  <si>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</si>
  <si>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</si>
  <si>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</si>
  <si>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</si>
  <si>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</si>
  <si>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</si>
  <si>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</si>
  <si>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</si>
  <si>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</si>
  <si>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</si>
  <si>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</si>
  <si>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</si>
  <si>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</si>
  <si>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</si>
  <si>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</si>
  <si>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</si>
  <si>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</si>
  <si>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</si>
  <si>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</si>
  <si>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</si>
  <si>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</si>
  <si>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</si>
  <si>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</si>
  <si>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</si>
  <si>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</si>
  <si>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</si>
  <si>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</si>
  <si>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</si>
  <si>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</si>
  <si>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</si>
  <si>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</si>
  <si>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</si>
  <si>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</si>
  <si>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</si>
  <si>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</si>
  <si>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</si>
  <si>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</si>
  <si>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</si>
  <si>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</si>
  <si>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</si>
  <si>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</si>
  <si>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</si>
  <si>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</si>
  <si>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</si>
  <si>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</si>
  <si>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</si>
  <si>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</si>
  <si>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</si>
  <si>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</si>
  <si>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</si>
  <si>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</si>
  <si>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</si>
  <si>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</si>
  <si>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</si>
  <si>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</si>
  <si>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</si>
  <si>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</si>
  <si>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</si>
  <si>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</si>
  <si>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</si>
  <si>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</si>
  <si>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</si>
  <si>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</si>
  <si>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</si>
  <si>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</si>
  <si>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</si>
  <si>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</si>
  <si>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</si>
  <si>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</si>
  <si>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</si>
  <si>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</si>
  <si>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</si>
  <si>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</si>
  <si>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</si>
  <si>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</si>
  <si>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</si>
  <si>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</si>
  <si>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</si>
  <si>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</si>
  <si>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</si>
  <si>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</si>
  <si>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</si>
  <si>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</si>
  <si>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</si>
  <si>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</si>
  <si>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</si>
  <si>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</si>
  <si>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</si>
  <si>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</si>
  <si>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</si>
  <si>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</si>
  <si>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</si>
  <si>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</si>
  <si>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</si>
  <si>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</si>
  <si>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</si>
  <si>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</si>
  <si>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</si>
  <si>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</si>
  <si>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</si>
  <si>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</si>
  <si>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</si>
  <si>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</si>
  <si>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</si>
  <si>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</si>
  <si>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</si>
  <si>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</si>
  <si>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</si>
  <si>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</si>
  <si>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</si>
  <si>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</si>
  <si>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</si>
  <si>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</si>
  <si>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</si>
  <si>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</si>
  <si>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</si>
  <si>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</si>
  <si>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</si>
  <si>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</si>
  <si>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</si>
  <si>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</si>
  <si>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</si>
  <si>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</si>
  <si>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</si>
  <si>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</si>
  <si>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</si>
  <si>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</si>
  <si>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</si>
  <si>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</si>
  <si>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</si>
  <si>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</si>
  <si>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</si>
  <si>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</si>
  <si>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</si>
  <si>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</si>
  <si>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</si>
  <si>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</si>
  <si>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</si>
  <si>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</si>
  <si>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</si>
  <si>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</si>
  <si>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</si>
  <si>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</si>
  <si>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</si>
  <si>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</si>
  <si>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</si>
  <si>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</si>
  <si>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</si>
  <si>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</si>
  <si>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</si>
  <si>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</si>
  <si>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</si>
  <si>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</si>
  <si>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</si>
  <si>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</si>
  <si>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</si>
  <si>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</si>
  <si>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</si>
  <si>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</si>
  <si>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</si>
  <si>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</si>
  <si>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</si>
  <si>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</si>
  <si>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</si>
  <si>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</si>
  <si>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</si>
  <si>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</si>
  <si>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</si>
  <si>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</si>
  <si>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</si>
  <si>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</si>
  <si>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</si>
  <si>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</si>
  <si>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</si>
  <si>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</si>
  <si>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</si>
  <si>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</si>
  <si>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</si>
  <si>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</si>
  <si>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</si>
  <si>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</si>
  <si>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</si>
  <si>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</si>
  <si>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</si>
  <si>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</si>
  <si>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</si>
  <si>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</si>
  <si>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</si>
  <si>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</si>
  <si>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</si>
  <si>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</si>
  <si>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</si>
  <si>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</si>
  <si>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</si>
  <si>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</si>
  <si>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</si>
  <si>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</si>
  <si>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</si>
  <si>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</si>
  <si>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</si>
  <si>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</si>
  <si>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</si>
  <si>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</si>
  <si>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</si>
  <si>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</si>
  <si>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</si>
  <si>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</si>
  <si>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</si>
  <si>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</si>
  <si>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</si>
  <si>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</si>
  <si>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</si>
  <si>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</si>
  <si>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</si>
  <si>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</si>
  <si>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</si>
  <si>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</si>
  <si>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</si>
  <si>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</si>
  <si>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</si>
  <si>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</si>
  <si>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</si>
  <si>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</si>
  <si>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</si>
  <si>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</si>
  <si>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</si>
  <si>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</si>
  <si>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</si>
  <si>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</si>
  <si>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</si>
  <si>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</si>
  <si>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</si>
  <si>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</si>
  <si>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</si>
  <si>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</si>
  <si>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</si>
  <si>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</si>
  <si>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</si>
  <si>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</si>
  <si>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</si>
  <si>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</si>
  <si>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</si>
  <si>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</si>
  <si>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</si>
  <si>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</si>
  <si>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</si>
  <si>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</si>
  <si>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</si>
  <si>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</si>
  <si>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</si>
  <si>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</si>
  <si>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</si>
  <si>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</si>
  <si>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</si>
  <si>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</si>
  <si>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</si>
  <si>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</si>
  <si>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</si>
  <si>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</si>
  <si>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</si>
  <si>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</si>
  <si>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</si>
  <si>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</si>
  <si>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</si>
  <si>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</si>
  <si>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</si>
  <si>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</si>
  <si>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</si>
  <si>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</si>
  <si>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</si>
  <si>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</si>
  <si>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</si>
  <si>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</si>
  <si>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</si>
  <si>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</si>
  <si>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</si>
  <si>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</si>
  <si>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</si>
  <si>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</si>
  <si>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</si>
  <si>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</si>
  <si>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</si>
  <si>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</si>
  <si>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</si>
  <si>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</si>
  <si>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</si>
  <si>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</si>
  <si>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</si>
  <si>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</si>
  <si>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</si>
  <si>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</si>
  <si>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</si>
  <si>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</si>
  <si>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</si>
  <si>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</si>
  <si>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</si>
  <si>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</si>
  <si>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</si>
  <si>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</si>
  <si>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</si>
  <si>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</si>
  <si>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</si>
  <si>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</si>
  <si>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</si>
  <si>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</si>
  <si>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</si>
  <si>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</si>
  <si>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</si>
  <si>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</si>
  <si>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</si>
  <si>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</si>
  <si>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</si>
  <si>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</si>
  <si>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</si>
  <si>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</si>
  <si>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</si>
  <si>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</si>
  <si>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</si>
  <si>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</si>
  <si>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</si>
  <si>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</si>
  <si>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</si>
  <si>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</si>
  <si>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</si>
  <si>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</si>
  <si>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</si>
  <si>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</si>
  <si>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</si>
  <si>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</si>
  <si>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</si>
  <si>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</si>
  <si>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</si>
  <si>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</si>
  <si>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</si>
  <si>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</si>
  <si>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</si>
  <si>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</si>
  <si>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</si>
  <si>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</si>
  <si>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</si>
  <si>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</si>
  <si>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</si>
  <si>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</si>
  <si>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</si>
  <si>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</si>
  <si>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</si>
  <si>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</si>
  <si>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</si>
  <si>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</si>
  <si>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</si>
  <si>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</si>
  <si>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</si>
  <si>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</si>
  <si>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</si>
  <si>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</si>
  <si>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</si>
  <si>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</si>
  <si>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</si>
  <si>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</si>
  <si>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</si>
  <si>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</si>
  <si>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</si>
  <si>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</si>
  <si>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</si>
  <si>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</si>
  <si>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</si>
  <si>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</si>
  <si>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</si>
  <si>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</si>
  <si>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</si>
  <si>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</si>
  <si>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</si>
  <si>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</si>
  <si>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</si>
  <si>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</si>
  <si>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</si>
  <si>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</si>
  <si>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</si>
  <si>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</si>
  <si>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</si>
  <si>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</si>
  <si>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</si>
  <si>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</si>
  <si>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</si>
  <si>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</si>
  <si>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</si>
  <si>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</si>
  <si>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</si>
  <si>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</si>
  <si>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</si>
  <si>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</si>
  <si>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</si>
  <si>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</si>
  <si>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</si>
  <si>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</si>
  <si>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</si>
  <si>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</si>
  <si>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</si>
  <si>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</si>
  <si>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</si>
  <si>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</si>
  <si>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</si>
  <si>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</si>
  <si>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</si>
  <si>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</si>
  <si>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</si>
  <si>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</si>
  <si>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</si>
  <si>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</si>
  <si>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</si>
  <si>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</si>
  <si>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</si>
  <si>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</si>
  <si>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</si>
  <si>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</si>
  <si>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</si>
  <si>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</si>
  <si>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</si>
  <si>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</si>
  <si>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</si>
  <si>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</si>
  <si>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</si>
  <si>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</si>
  <si>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</si>
  <si>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</si>
  <si>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</si>
  <si>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</si>
  <si>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</si>
  <si>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</si>
  <si>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</si>
  <si>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</si>
  <si>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</si>
  <si>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</si>
  <si>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</si>
  <si>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</si>
  <si>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</si>
  <si>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</si>
  <si>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</si>
  <si>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</si>
  <si>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</si>
  <si>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</si>
  <si>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</si>
  <si>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</si>
  <si>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</si>
  <si>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</si>
  <si>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</si>
  <si>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</si>
  <si>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</si>
  <si>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</si>
  <si>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</si>
  <si>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</si>
  <si>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</si>
  <si>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</si>
  <si>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</si>
  <si>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</si>
  <si>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</si>
  <si>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</si>
  <si>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</si>
  <si>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</si>
  <si>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</si>
  <si>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</si>
  <si>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</si>
  <si>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</si>
  <si>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</si>
  <si>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</si>
  <si>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</si>
  <si>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</si>
  <si>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</si>
  <si>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</si>
  <si>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</si>
  <si>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</si>
  <si>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</si>
  <si>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</si>
  <si>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</si>
  <si>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</si>
  <si>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</si>
  <si>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</si>
  <si>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</si>
  <si>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</si>
  <si>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</si>
  <si>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</si>
  <si>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</si>
  <si>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</si>
  <si>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</si>
  <si>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</si>
  <si>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</si>
  <si>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</si>
  <si>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</si>
  <si>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</si>
  <si>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</si>
  <si>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</si>
  <si>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</si>
  <si>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</si>
  <si>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</si>
  <si>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</si>
  <si>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</si>
  <si>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</si>
  <si>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</si>
  <si>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</si>
  <si>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</si>
  <si>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</si>
  <si>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</si>
  <si>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</si>
  <si>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</si>
  <si>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</si>
  <si>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</si>
  <si>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</si>
  <si>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</si>
  <si>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</si>
  <si>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</si>
  <si>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</si>
  <si>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</si>
  <si>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</si>
  <si>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</si>
  <si>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</si>
  <si>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</si>
  <si>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</si>
  <si>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</si>
  <si>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</si>
  <si>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</si>
  <si>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</si>
  <si>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</si>
  <si>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</si>
  <si>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</si>
  <si>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</si>
  <si>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</si>
  <si>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</si>
  <si>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</si>
  <si>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</si>
  <si>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</si>
  <si>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</si>
  <si>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</si>
  <si>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</si>
  <si>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</si>
  <si>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</si>
  <si>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</si>
  <si>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</si>
  <si>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</si>
  <si>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</si>
  <si>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</si>
  <si>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</si>
  <si>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</si>
  <si>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</si>
  <si>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</si>
  <si>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</si>
  <si>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</si>
  <si>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</si>
  <si>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</si>
  <si>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</si>
  <si>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</si>
  <si>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</si>
  <si>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</si>
  <si>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</si>
  <si>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</si>
  <si>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</si>
  <si>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</si>
  <si>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</si>
  <si>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</si>
  <si>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</si>
  <si>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</si>
  <si>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</si>
  <si>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</si>
  <si>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</si>
  <si>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</si>
  <si>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</si>
  <si>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</si>
  <si>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</si>
  <si>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</si>
  <si>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</si>
  <si>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</si>
  <si>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</si>
  <si>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</si>
  <si>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</si>
  <si>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</si>
  <si>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</si>
  <si>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</si>
  <si>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</si>
  <si>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</si>
  <si>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</si>
  <si>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</si>
  <si>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</si>
  <si>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</si>
  <si>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</si>
  <si>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</si>
  <si>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</si>
  <si>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</si>
  <si>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</si>
  <si>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</si>
  <si>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</si>
  <si>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</si>
  <si>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</si>
  <si>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</si>
  <si>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</si>
  <si>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</si>
  <si>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</si>
  <si>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</si>
  <si>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</si>
  <si>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</si>
  <si>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</si>
  <si>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</si>
  <si>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</si>
  <si>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</si>
  <si>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</si>
  <si>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</si>
  <si>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</si>
  <si>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</si>
  <si>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</si>
  <si>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</si>
  <si>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</si>
  <si>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</si>
  <si>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</si>
  <si>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</si>
  <si>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</si>
  <si>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</si>
  <si>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</si>
  <si>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</si>
  <si>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</si>
  <si>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</si>
  <si>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</si>
  <si>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</si>
  <si>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</si>
  <si>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</si>
  <si>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</si>
  <si>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</si>
  <si>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</si>
  <si>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</si>
  <si>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</si>
  <si>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</si>
  <si>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</si>
  <si>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</si>
  <si>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</si>
  <si>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</si>
  <si>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</si>
  <si>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</si>
  <si>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</si>
  <si>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</si>
  <si>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</si>
  <si>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</si>
  <si>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</si>
  <si>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</si>
  <si>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</si>
  <si>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</si>
  <si>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</si>
  <si>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</si>
  <si>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</si>
  <si>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</si>
  <si>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</si>
  <si>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</si>
  <si>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</si>
  <si>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</si>
  <si>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</si>
  <si>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</si>
  <si>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</si>
  <si>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</si>
  <si>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</si>
  <si>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</si>
  <si>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</si>
  <si>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</si>
  <si>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</si>
  <si>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</si>
  <si>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Design , develop and produce high power RF switches and limiters</t>
  </si>
  <si>
    <t>63609439</t>
  </si>
  <si>
    <t>25/F Workington Tower, 78 Bonham Strand, Sheung Wan, Hong Kong</t>
  </si>
  <si>
    <t>Carly@rfuw-engineering.com</t>
  </si>
  <si>
    <t>sales@rfuw-engineering.com</t>
  </si>
  <si>
    <t>+852.5742.2345</t>
  </si>
  <si>
    <t>J. Gault</t>
  </si>
  <si>
    <t>Co-Founder</t>
  </si>
  <si>
    <t>jg@rfuw-engineering.com</t>
  </si>
  <si>
    <t>RFuW Engineering subsidiary of Wei Bo Associates HK Ltd.</t>
  </si>
  <si>
    <t>Heraeus Precision Metals GmbH</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</si>
</sst>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7">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5" fillId="0" borderId="0" xfId="0" applyFont="1"/>
    <xf numFmtId="49" fontId="0" fillId="0" borderId="0" xfId="0" applyNumberFormat="1" applyFont="1" applyFill="1" applyAlignment="1">
      <alignment vertical="center"/>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horizontal="left" vertical="top" wrapText="1"/>
    </xf>
    <xf numFmtId="0" fontId="113" fillId="0" borderId="0" xfId="0" applyFont="1" applyAlignment="1">
      <alignment vertical="top" wrapText="1"/>
    </xf>
    <xf numFmtId="9" fontId="111" fillId="0" borderId="0" xfId="0" applyNumberFormat="1" applyFont="1" applyAlignment="1">
      <alignment horizontal="left" vertical="top" wrapText="1"/>
    </xf>
    <xf numFmtId="0" fontId="112"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20" fillId="36" borderId="65" xfId="502" applyNumberFormat="1" applyFont="1" applyFill="1" applyBorder="1" applyAlignment="1">
      <alignment vertical="center" wrapText="1"/>
    </xf>
    <xf numFmtId="0" fontId="107"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7"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6"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2"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2" fillId="0" borderId="0" xfId="502" applyFont="1" applyFill="1" applyAlignment="1">
      <alignment horizontal="justify" vertical="top"/>
    </xf>
    <xf numFmtId="0" fontId="97" fillId="0" borderId="0" xfId="502" applyFont="1" applyFill="1" applyBorder="1" applyAlignment="1">
      <alignment horizontal="left" vertical="top" wrapText="1"/>
    </xf>
    <xf numFmtId="0" fontId="123" fillId="0" borderId="0" xfId="502" applyFont="1" applyFill="1" applyBorder="1" applyAlignment="1">
      <alignment horizontal="left" vertical="top" wrapText="1"/>
    </xf>
    <xf numFmtId="0" fontId="122"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6" fillId="0" borderId="0" xfId="527" applyFont="1" applyFill="1" applyAlignment="1">
      <alignment horizontal="left" vertical="top" wrapText="1"/>
    </xf>
    <xf numFmtId="164" fontId="6" fillId="0" borderId="0" xfId="480"/>
    <xf numFmtId="0" fontId="118" fillId="0" borderId="0" xfId="0" applyFont="1" applyFill="1" applyAlignment="1">
      <alignment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1" xfId="0" applyNumberFormat="1" applyFont="1" applyFill="1" applyBorder="1" applyAlignment="1" applyProtection="1">
      <alignment horizontal="left" vertical="center" wrapText="1"/>
      <protection locked="0" hidden="1"/>
    </xf>
    <xf numFmtId="49" fontId="104"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49" fontId="7" fillId="2" borderId="52" xfId="487" applyNumberFormat="1" applyFill="1" applyBorder="1" applyAlignment="1" applyProtection="1">
      <alignment horizontal="left" vertical="center" wrapText="1"/>
      <protection locked="0" hidden="1"/>
    </xf>
    <xf numFmtId="49" fontId="0" fillId="0" borderId="0" xfId="0" applyNumberFormat="1" applyFont="1" applyFill="1" applyBorder="1" applyAlignment="1" applyProtection="1">
      <protection locked="0"/>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arly@rfuw-engineering.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jg@rfuw-engineering.com" TargetMode="External"/><Relationship Id="rId4" Type="http://schemas.openxmlformats.org/officeDocument/2006/relationships/hyperlink" Target="mailto:sales@rfuw-engineering.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7"/>
      <c r="B2" s="38" t="s">
        <v>975</v>
      </c>
      <c r="C2" s="36"/>
      <c r="D2" s="227"/>
      <c r="E2" s="3"/>
      <c r="F2" s="36"/>
      <c r="G2" s="34"/>
    </row>
    <row r="3" spans="1:7">
      <c r="A3" s="357"/>
      <c r="B3" s="5" t="s">
        <v>964</v>
      </c>
      <c r="C3" s="6"/>
      <c r="D3" s="228"/>
      <c r="E3" s="3"/>
      <c r="F3" s="6"/>
      <c r="G3" s="34"/>
    </row>
    <row r="4" spans="1:7" ht="15.75">
      <c r="A4" s="357"/>
      <c r="B4" s="41" t="s">
        <v>977</v>
      </c>
      <c r="C4" s="7"/>
      <c r="D4" s="229"/>
      <c r="E4" s="3"/>
      <c r="F4" s="7"/>
      <c r="G4" s="34"/>
    </row>
    <row r="5" spans="1:7">
      <c r="A5" s="357"/>
      <c r="B5" s="40" t="s">
        <v>1169</v>
      </c>
      <c r="C5" s="4"/>
      <c r="D5" s="230"/>
      <c r="E5" s="3"/>
      <c r="F5" s="4"/>
      <c r="G5" s="34"/>
    </row>
    <row r="6" spans="1:7">
      <c r="A6" s="357"/>
      <c r="B6" s="8"/>
      <c r="C6" s="8"/>
      <c r="D6" s="231"/>
      <c r="E6" s="8"/>
      <c r="F6" s="8"/>
      <c r="G6" s="34"/>
    </row>
    <row r="7" spans="1:7">
      <c r="A7" s="357"/>
      <c r="B7" s="8"/>
      <c r="C7" s="8"/>
      <c r="D7" s="231"/>
      <c r="E7" s="8"/>
      <c r="F7" s="8"/>
      <c r="G7" s="34"/>
    </row>
    <row r="8" spans="1:7">
      <c r="A8" s="357"/>
      <c r="B8" s="8"/>
      <c r="C8" s="8"/>
      <c r="D8" s="231"/>
      <c r="E8" s="8"/>
      <c r="F8" s="8"/>
      <c r="G8" s="34"/>
    </row>
    <row r="9" spans="1:7">
      <c r="A9" s="357"/>
      <c r="B9" s="360" t="s">
        <v>978</v>
      </c>
      <c r="C9" s="360"/>
      <c r="D9" s="360"/>
      <c r="E9" s="360"/>
      <c r="F9" s="360"/>
      <c r="G9" s="34"/>
    </row>
    <row r="10" spans="1:7" ht="27" customHeight="1">
      <c r="A10" s="357"/>
      <c r="B10" s="361" t="s">
        <v>511</v>
      </c>
      <c r="C10" s="361"/>
      <c r="D10" s="361"/>
      <c r="E10" s="361"/>
      <c r="F10" s="361"/>
      <c r="G10" s="34"/>
    </row>
    <row r="11" spans="1:7" ht="27" customHeight="1">
      <c r="A11" s="357"/>
      <c r="B11" s="362"/>
      <c r="C11" s="362"/>
      <c r="D11" s="362"/>
      <c r="E11" s="362"/>
      <c r="F11" s="362"/>
      <c r="G11" s="34"/>
    </row>
    <row r="12" spans="1:7" ht="16.5">
      <c r="A12" s="357"/>
      <c r="B12" s="42" t="s">
        <v>976</v>
      </c>
      <c r="C12" s="43" t="s">
        <v>979</v>
      </c>
      <c r="D12" s="232" t="s">
        <v>980</v>
      </c>
      <c r="E12" s="43" t="s">
        <v>706</v>
      </c>
      <c r="F12" s="43" t="s">
        <v>707</v>
      </c>
      <c r="G12" s="34"/>
    </row>
    <row r="13" spans="1:7" ht="33.75">
      <c r="A13" s="357"/>
      <c r="B13" s="2">
        <v>1</v>
      </c>
      <c r="C13" s="37" t="s">
        <v>1220</v>
      </c>
      <c r="D13" s="39" t="s">
        <v>1004</v>
      </c>
      <c r="E13" s="214" t="s">
        <v>981</v>
      </c>
      <c r="F13" s="214"/>
      <c r="G13" s="34"/>
    </row>
    <row r="14" spans="1:7" ht="33.75">
      <c r="A14" s="357"/>
      <c r="B14" s="2">
        <v>2</v>
      </c>
      <c r="C14" s="37" t="s">
        <v>1220</v>
      </c>
      <c r="D14" s="39" t="s">
        <v>1154</v>
      </c>
      <c r="E14" s="214" t="s">
        <v>607</v>
      </c>
      <c r="F14" s="214" t="s">
        <v>608</v>
      </c>
      <c r="G14" s="34"/>
    </row>
    <row r="15" spans="1:7" ht="89.1" customHeight="1">
      <c r="A15" s="357"/>
      <c r="B15" s="363">
        <v>2.0099999999999998</v>
      </c>
      <c r="C15" s="354" t="s">
        <v>1220</v>
      </c>
      <c r="D15" s="366" t="s">
        <v>2745</v>
      </c>
      <c r="E15" s="215" t="s">
        <v>708</v>
      </c>
      <c r="F15" s="215" t="s">
        <v>711</v>
      </c>
      <c r="G15" s="34"/>
    </row>
    <row r="16" spans="1:7" ht="99" customHeight="1">
      <c r="A16" s="357"/>
      <c r="B16" s="364"/>
      <c r="C16" s="355"/>
      <c r="D16" s="367"/>
      <c r="E16" s="216"/>
      <c r="F16" s="216" t="s">
        <v>709</v>
      </c>
      <c r="G16" s="34"/>
    </row>
    <row r="17" spans="1:7" ht="63" customHeight="1">
      <c r="A17" s="357"/>
      <c r="B17" s="365"/>
      <c r="C17" s="356"/>
      <c r="D17" s="368"/>
      <c r="E17" s="37"/>
      <c r="F17" s="37" t="s">
        <v>710</v>
      </c>
      <c r="G17" s="34"/>
    </row>
    <row r="18" spans="1:7" ht="117" customHeight="1">
      <c r="A18" s="357"/>
      <c r="B18" s="363">
        <v>2.02</v>
      </c>
      <c r="C18" s="354" t="s">
        <v>1220</v>
      </c>
      <c r="D18" s="366" t="s">
        <v>2746</v>
      </c>
      <c r="E18" s="215" t="s">
        <v>512</v>
      </c>
      <c r="F18" s="215" t="s">
        <v>601</v>
      </c>
      <c r="G18" s="34"/>
    </row>
    <row r="19" spans="1:7" ht="71.099999999999994" customHeight="1">
      <c r="A19" s="357"/>
      <c r="B19" s="364"/>
      <c r="C19" s="355"/>
      <c r="D19" s="367"/>
      <c r="E19" s="216" t="s">
        <v>606</v>
      </c>
      <c r="F19" s="216" t="s">
        <v>513</v>
      </c>
      <c r="G19" s="34"/>
    </row>
    <row r="20" spans="1:7" ht="90.75" customHeight="1">
      <c r="A20" s="357"/>
      <c r="B20" s="364"/>
      <c r="C20" s="355"/>
      <c r="D20" s="367"/>
      <c r="E20" s="216"/>
      <c r="F20" s="216" t="s">
        <v>713</v>
      </c>
      <c r="G20" s="34"/>
    </row>
    <row r="21" spans="1:7" ht="74.25" customHeight="1">
      <c r="A21" s="357"/>
      <c r="B21" s="365"/>
      <c r="C21" s="356"/>
      <c r="D21" s="368"/>
      <c r="E21" s="37"/>
      <c r="F21" s="37" t="s">
        <v>712</v>
      </c>
      <c r="G21" s="34"/>
    </row>
    <row r="22" spans="1:7" ht="90" customHeight="1">
      <c r="A22" s="357"/>
      <c r="B22" s="348">
        <v>2.0299999999999998</v>
      </c>
      <c r="C22" s="348" t="s">
        <v>947</v>
      </c>
      <c r="D22" s="351" t="s">
        <v>2747</v>
      </c>
      <c r="E22" s="354" t="s">
        <v>510</v>
      </c>
      <c r="F22" s="215" t="s">
        <v>534</v>
      </c>
      <c r="G22" s="34"/>
    </row>
    <row r="23" spans="1:7" ht="109.5" customHeight="1">
      <c r="A23" s="357"/>
      <c r="B23" s="349"/>
      <c r="C23" s="349"/>
      <c r="D23" s="352"/>
      <c r="E23" s="355"/>
      <c r="F23" s="216" t="s">
        <v>948</v>
      </c>
      <c r="G23" s="34"/>
    </row>
    <row r="24" spans="1:7" ht="74.25" customHeight="1">
      <c r="A24" s="357"/>
      <c r="B24" s="350"/>
      <c r="C24" s="350"/>
      <c r="D24" s="353"/>
      <c r="E24" s="356"/>
      <c r="F24" s="37" t="s">
        <v>509</v>
      </c>
      <c r="G24" s="34"/>
    </row>
    <row r="25" spans="1:7" ht="72" customHeight="1">
      <c r="A25" s="357"/>
      <c r="B25" s="2" t="s">
        <v>532</v>
      </c>
      <c r="C25" s="37" t="s">
        <v>533</v>
      </c>
      <c r="D25" s="39" t="s">
        <v>2748</v>
      </c>
      <c r="E25" s="37" t="s">
        <v>2741</v>
      </c>
      <c r="F25" s="37" t="s">
        <v>535</v>
      </c>
      <c r="G25" s="34"/>
    </row>
    <row r="26" spans="1:7" ht="98.1" customHeight="1">
      <c r="A26" s="357"/>
      <c r="B26" s="345">
        <v>3</v>
      </c>
      <c r="C26" s="363" t="s">
        <v>79</v>
      </c>
      <c r="D26" s="366" t="s">
        <v>2749</v>
      </c>
      <c r="E26" s="354" t="s">
        <v>0</v>
      </c>
      <c r="F26" s="215" t="s">
        <v>73</v>
      </c>
      <c r="G26" s="34"/>
    </row>
    <row r="27" spans="1:7" ht="90" customHeight="1">
      <c r="A27" s="357"/>
      <c r="B27" s="346"/>
      <c r="C27" s="364"/>
      <c r="D27" s="367"/>
      <c r="E27" s="355"/>
      <c r="F27" s="216" t="s">
        <v>68</v>
      </c>
      <c r="G27" s="34"/>
    </row>
    <row r="28" spans="1:7" ht="19.350000000000001" customHeight="1">
      <c r="A28" s="357"/>
      <c r="B28" s="346"/>
      <c r="C28" s="364"/>
      <c r="D28" s="367"/>
      <c r="E28" s="355"/>
      <c r="F28" s="216" t="s">
        <v>69</v>
      </c>
      <c r="G28" s="34"/>
    </row>
    <row r="29" spans="1:7" ht="74.45" customHeight="1">
      <c r="A29" s="357"/>
      <c r="B29" s="346"/>
      <c r="C29" s="364"/>
      <c r="D29" s="367"/>
      <c r="E29" s="355"/>
      <c r="F29" s="216" t="s">
        <v>70</v>
      </c>
      <c r="G29" s="34"/>
    </row>
    <row r="30" spans="1:7" ht="62.45" customHeight="1">
      <c r="A30" s="357"/>
      <c r="B30" s="346"/>
      <c r="C30" s="364"/>
      <c r="D30" s="367"/>
      <c r="E30" s="355"/>
      <c r="F30" s="216" t="s">
        <v>71</v>
      </c>
      <c r="G30" s="34"/>
    </row>
    <row r="31" spans="1:7" ht="81" customHeight="1">
      <c r="A31" s="357"/>
      <c r="B31" s="346"/>
      <c r="C31" s="364"/>
      <c r="D31" s="367"/>
      <c r="E31" s="355"/>
      <c r="F31" s="216" t="s">
        <v>72</v>
      </c>
      <c r="G31" s="34"/>
    </row>
    <row r="32" spans="1:7" ht="48.75" customHeight="1">
      <c r="A32" s="357"/>
      <c r="B32" s="346"/>
      <c r="C32" s="364"/>
      <c r="D32" s="367"/>
      <c r="E32" s="355"/>
      <c r="F32" s="216" t="s">
        <v>75</v>
      </c>
      <c r="G32" s="34"/>
    </row>
    <row r="33" spans="1:7" ht="98.45" customHeight="1">
      <c r="A33" s="357"/>
      <c r="B33" s="346"/>
      <c r="C33" s="364"/>
      <c r="D33" s="367"/>
      <c r="E33" s="355"/>
      <c r="F33" s="216" t="s">
        <v>74</v>
      </c>
      <c r="G33" s="34"/>
    </row>
    <row r="34" spans="1:7" ht="89.1" customHeight="1">
      <c r="A34" s="357"/>
      <c r="B34" s="346"/>
      <c r="C34" s="364"/>
      <c r="D34" s="367"/>
      <c r="E34" s="355"/>
      <c r="F34" s="216" t="s">
        <v>76</v>
      </c>
      <c r="G34" s="34"/>
    </row>
    <row r="35" spans="1:7" ht="29.1" customHeight="1">
      <c r="A35" s="357"/>
      <c r="B35" s="346"/>
      <c r="C35" s="364"/>
      <c r="D35" s="367"/>
      <c r="E35" s="355"/>
      <c r="F35" s="216" t="s">
        <v>77</v>
      </c>
      <c r="G35" s="34"/>
    </row>
    <row r="36" spans="1:7" ht="126.75">
      <c r="A36" s="357"/>
      <c r="B36" s="347"/>
      <c r="C36" s="365"/>
      <c r="D36" s="368"/>
      <c r="E36" s="356"/>
      <c r="F36" s="217" t="s">
        <v>78</v>
      </c>
      <c r="G36" s="34"/>
    </row>
    <row r="37" spans="1:7" ht="123.75">
      <c r="A37" s="357"/>
      <c r="B37" s="176">
        <v>3.01</v>
      </c>
      <c r="C37" s="177" t="s">
        <v>79</v>
      </c>
      <c r="D37" s="39" t="s">
        <v>2750</v>
      </c>
      <c r="E37" s="218" t="s">
        <v>1475</v>
      </c>
      <c r="F37" s="219" t="s">
        <v>1602</v>
      </c>
      <c r="G37" s="34"/>
    </row>
    <row r="38" spans="1:7" ht="112.5">
      <c r="A38" s="357"/>
      <c r="B38" s="176">
        <v>3.02</v>
      </c>
      <c r="C38" s="177" t="s">
        <v>1509</v>
      </c>
      <c r="D38" s="39" t="s">
        <v>2751</v>
      </c>
      <c r="E38" s="218" t="s">
        <v>1524</v>
      </c>
      <c r="F38" s="219" t="s">
        <v>1603</v>
      </c>
      <c r="G38" s="34"/>
    </row>
    <row r="39" spans="1:7" ht="101.25">
      <c r="A39" s="357"/>
      <c r="B39" s="192">
        <v>4</v>
      </c>
      <c r="C39" s="191" t="s">
        <v>1782</v>
      </c>
      <c r="D39" s="39" t="s">
        <v>2752</v>
      </c>
      <c r="E39" s="37" t="s">
        <v>2680</v>
      </c>
      <c r="F39" s="37" t="s">
        <v>1783</v>
      </c>
      <c r="G39" s="34"/>
    </row>
    <row r="40" spans="1:7" ht="56.25">
      <c r="A40" s="357"/>
      <c r="B40" s="176">
        <v>4.01</v>
      </c>
      <c r="C40" s="191" t="s">
        <v>1782</v>
      </c>
      <c r="D40" s="39" t="s">
        <v>2754</v>
      </c>
      <c r="E40" s="37" t="s">
        <v>2700</v>
      </c>
      <c r="F40" s="37" t="s">
        <v>2706</v>
      </c>
      <c r="G40" s="34"/>
    </row>
    <row r="41" spans="1:7" ht="56.25">
      <c r="A41" s="357"/>
      <c r="B41" s="176" t="s">
        <v>2739</v>
      </c>
      <c r="C41" s="191" t="s">
        <v>1782</v>
      </c>
      <c r="D41" s="39" t="s">
        <v>2753</v>
      </c>
      <c r="E41" s="37" t="s">
        <v>2742</v>
      </c>
      <c r="F41" s="37" t="s">
        <v>2740</v>
      </c>
      <c r="G41" s="34"/>
    </row>
    <row r="42" spans="1:7" ht="56.25">
      <c r="A42" s="357"/>
      <c r="B42" s="176" t="s">
        <v>2791</v>
      </c>
      <c r="C42" s="191" t="s">
        <v>1782</v>
      </c>
      <c r="D42" s="39" t="s">
        <v>2962</v>
      </c>
      <c r="E42" s="37" t="s">
        <v>2741</v>
      </c>
      <c r="F42" s="37" t="s">
        <v>2792</v>
      </c>
      <c r="G42" s="34"/>
    </row>
    <row r="43" spans="1:7" ht="123.75">
      <c r="A43" s="357"/>
      <c r="B43" s="208">
        <v>4.0999999999999996</v>
      </c>
      <c r="C43" s="191" t="s">
        <v>2961</v>
      </c>
      <c r="D43" s="209">
        <v>42867</v>
      </c>
      <c r="E43" s="220" t="s">
        <v>2964</v>
      </c>
      <c r="F43" s="37" t="s">
        <v>2963</v>
      </c>
      <c r="G43" s="34"/>
    </row>
    <row r="44" spans="1:7" ht="78.75">
      <c r="A44" s="357"/>
      <c r="B44" s="208">
        <v>4.2</v>
      </c>
      <c r="C44" s="191" t="s">
        <v>2961</v>
      </c>
      <c r="D44" s="209">
        <v>42704</v>
      </c>
      <c r="E44" s="220" t="s">
        <v>3219</v>
      </c>
      <c r="F44" s="37" t="s">
        <v>3184</v>
      </c>
      <c r="G44" s="34"/>
    </row>
    <row r="45" spans="1:7" ht="157.5">
      <c r="A45" s="357"/>
      <c r="B45" s="287">
        <v>5</v>
      </c>
      <c r="C45" s="191" t="s">
        <v>2961</v>
      </c>
      <c r="D45" s="209">
        <v>42867</v>
      </c>
      <c r="E45" s="220" t="s">
        <v>14011</v>
      </c>
      <c r="F45" s="37" t="s">
        <v>13595</v>
      </c>
      <c r="G45" s="34"/>
    </row>
    <row r="46" spans="1:7" ht="45">
      <c r="A46" s="357"/>
      <c r="B46" s="208">
        <v>5.01</v>
      </c>
      <c r="C46" s="191" t="s">
        <v>2961</v>
      </c>
      <c r="D46" s="209">
        <v>42907</v>
      </c>
      <c r="E46" s="220" t="s">
        <v>14067</v>
      </c>
      <c r="F46" s="37" t="s">
        <v>13595</v>
      </c>
      <c r="G46" s="34"/>
    </row>
    <row r="47" spans="1:7" ht="67.5">
      <c r="A47" s="357"/>
      <c r="B47" s="208">
        <v>5.0999999999999996</v>
      </c>
      <c r="C47" s="191" t="s">
        <v>2961</v>
      </c>
      <c r="D47" s="209">
        <v>43070</v>
      </c>
      <c r="E47" s="220" t="s">
        <v>14293</v>
      </c>
      <c r="F47" s="37" t="s">
        <v>14294</v>
      </c>
      <c r="G47" s="34"/>
    </row>
    <row r="48" spans="1:7" ht="56.25">
      <c r="A48" s="357"/>
      <c r="B48" s="208">
        <v>5.1100000000000003</v>
      </c>
      <c r="C48" s="191" t="s">
        <v>14574</v>
      </c>
      <c r="D48" s="209">
        <v>43217</v>
      </c>
      <c r="E48" s="220" t="s">
        <v>14720</v>
      </c>
      <c r="F48" s="37" t="s">
        <v>14615</v>
      </c>
      <c r="G48" s="34"/>
    </row>
    <row r="49" spans="1:7" ht="13.5" thickBot="1">
      <c r="A49" s="358"/>
      <c r="B49" s="359" t="str">
        <f ca="1">OFFSET(L!$C$1,MATCH("General"&amp;"Cpy",L!$A:$A,0)-1,SL,,)</f>
        <v>© 2018 Responsible Minerals Initiative. All rights reserved.</v>
      </c>
      <c r="C49" s="359"/>
      <c r="D49" s="359"/>
      <c r="E49" s="359"/>
      <c r="F49" s="359"/>
      <c r="G49" s="35"/>
    </row>
    <row r="50" spans="1:7" ht="13.5" thickTop="1">
      <c r="A50" s="124"/>
      <c r="B50" s="125"/>
      <c r="C50" s="125"/>
      <c r="D50" s="233"/>
      <c r="E50" s="125"/>
      <c r="F50" s="125"/>
      <c r="G50"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0">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60">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Y67" sqref="Y6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9" t="str">
        <f ca="1">OFFSET(L!$C$1,MATCH("Declaration"&amp;ADDRESS(ROW(),COLUMN(),4),L!$A:$A,0)-1,SL,,)</f>
        <v>Conflict Minerals Reporting Template (CMRT)</v>
      </c>
      <c r="E2" s="410"/>
      <c r="F2" s="410"/>
      <c r="G2" s="410"/>
      <c r="H2" s="410"/>
      <c r="I2" s="410"/>
      <c r="J2" s="411"/>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9"/>
      <c r="G3" s="419"/>
      <c r="H3" s="419"/>
      <c r="I3" s="194"/>
      <c r="J3" s="173" t="s">
        <v>14599</v>
      </c>
      <c r="K3" s="48"/>
      <c r="L3" s="144"/>
      <c r="M3" s="135"/>
      <c r="N3" s="135"/>
      <c r="O3" s="136"/>
      <c r="P3" s="149">
        <f>MATCH($D$3,LN,0)</f>
        <v>1</v>
      </c>
    </row>
    <row r="4" spans="1:34" ht="15.75">
      <c r="A4" s="46"/>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24" t="str">
        <f ca="1">OFFSET(L!$C$1,MATCH("Declaration"&amp;ADDRESS(ROW(),COLUMN(),4),L!$A:$A,0)-1,SL,,)</f>
        <v>Company Information</v>
      </c>
      <c r="C7" s="424"/>
      <c r="D7" s="424"/>
      <c r="E7" s="424"/>
      <c r="F7" s="424"/>
      <c r="G7" s="424"/>
      <c r="H7" s="424"/>
      <c r="I7" s="424"/>
      <c r="J7" s="424"/>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12" t="s">
        <v>15434</v>
      </c>
      <c r="E8" s="413"/>
      <c r="F8" s="413"/>
      <c r="G8" s="413"/>
      <c r="H8" s="413"/>
      <c r="I8" s="413"/>
      <c r="J8" s="414"/>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21" t="s">
        <v>569</v>
      </c>
      <c r="E9" s="422"/>
      <c r="F9" s="422"/>
      <c r="G9" s="423"/>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25" t="str">
        <f ca="1">OFFSET(L!$C$1,MATCH("Declaration"&amp;ADDRESS(ROW(),COLUMN(),4)&amp;LEFT($D$9,1),L!$A:$A,0)-1,SL,,)</f>
        <v>Description of Scope:</v>
      </c>
      <c r="C10" s="156"/>
      <c r="D10" s="416" t="s">
        <v>15425</v>
      </c>
      <c r="E10" s="417"/>
      <c r="F10" s="417"/>
      <c r="G10" s="417"/>
      <c r="H10" s="417"/>
      <c r="I10" s="417"/>
      <c r="J10" s="418"/>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6"/>
      <c r="C11" s="156"/>
      <c r="D11" s="390" t="str">
        <f ca="1">IF(D9=Q9,OFFSET(L!$C$1,MATCH("Declaration"&amp;ADDRESS(ROW(),COLUMN(),4),L!$A:$A,0)-1,SL,,),"")</f>
        <v/>
      </c>
      <c r="E11" s="391"/>
      <c r="F11" s="391"/>
      <c r="G11" s="391"/>
      <c r="H11" s="391"/>
      <c r="I11" s="391"/>
      <c r="J11" s="392"/>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99" t="s">
        <v>15426</v>
      </c>
      <c r="E12" s="400"/>
      <c r="F12" s="400"/>
      <c r="G12" s="400"/>
      <c r="H12" s="400"/>
      <c r="I12" s="400"/>
      <c r="J12" s="401"/>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99" t="s">
        <v>1856</v>
      </c>
      <c r="E13" s="400"/>
      <c r="F13" s="400"/>
      <c r="G13" s="400"/>
      <c r="H13" s="400"/>
      <c r="I13" s="400"/>
      <c r="J13" s="401"/>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9" t="s">
        <v>15427</v>
      </c>
      <c r="E14" s="400"/>
      <c r="F14" s="400"/>
      <c r="G14" s="400"/>
      <c r="H14" s="400"/>
      <c r="I14" s="400"/>
      <c r="J14" s="40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444" t="s">
        <v>15428</v>
      </c>
      <c r="E15" s="400"/>
      <c r="F15" s="400"/>
      <c r="G15" s="400"/>
      <c r="H15" s="400"/>
      <c r="I15" s="400"/>
      <c r="J15" s="40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44" t="s">
        <v>15429</v>
      </c>
      <c r="E16" s="427"/>
      <c r="F16" s="427"/>
      <c r="G16" s="427"/>
      <c r="H16" s="427"/>
      <c r="I16" s="427"/>
      <c r="J16" s="42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99" t="s">
        <v>15430</v>
      </c>
      <c r="E17" s="400"/>
      <c r="F17" s="400"/>
      <c r="G17" s="400"/>
      <c r="H17" s="400"/>
      <c r="I17" s="400"/>
      <c r="J17" s="40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9" t="s">
        <v>15431</v>
      </c>
      <c r="E18" s="400"/>
      <c r="F18" s="400"/>
      <c r="G18" s="400"/>
      <c r="H18" s="400"/>
      <c r="I18" s="400"/>
      <c r="J18" s="401"/>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9" t="s">
        <v>15432</v>
      </c>
      <c r="E19" s="400"/>
      <c r="F19" s="400"/>
      <c r="G19" s="400"/>
      <c r="H19" s="400"/>
      <c r="I19" s="400"/>
      <c r="J19" s="401"/>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44" t="s">
        <v>15433</v>
      </c>
      <c r="E20" s="427"/>
      <c r="F20" s="427"/>
      <c r="G20" s="427"/>
      <c r="H20" s="427"/>
      <c r="I20" s="427"/>
      <c r="J20" s="428"/>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99" t="s">
        <v>15430</v>
      </c>
      <c r="E21" s="400"/>
      <c r="F21" s="400"/>
      <c r="G21" s="400"/>
      <c r="H21" s="400"/>
      <c r="I21" s="400"/>
      <c r="J21" s="401"/>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429">
        <v>43692</v>
      </c>
      <c r="E22" s="430"/>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02"/>
      <c r="E23" s="402"/>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431" t="str">
        <f ca="1">OFFSET(L!$C$1,MATCH("Declaration"&amp;ADDRESS(ROW(),COLUMN(),4),L!$A:$A,0)-1,SL,,)</f>
        <v>Answer the following questions 1 - 7 based on the declaration scope indicated above</v>
      </c>
      <c r="C24" s="431"/>
      <c r="D24" s="431"/>
      <c r="E24" s="431"/>
      <c r="F24" s="431"/>
      <c r="G24" s="431"/>
      <c r="H24" s="431"/>
      <c r="I24" s="431"/>
      <c r="J24" s="431"/>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389" t="str">
        <f ca="1">OFFSET(L!$C$1,MATCH("Declaration"&amp;ADDRESS(ROW(),COLUMN(),4),L!$A:$A,0)-1,SL,,)</f>
        <v>Answer</v>
      </c>
      <c r="E25" s="389"/>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 xml:space="preserve">Tantalum  </v>
      </c>
      <c r="C26" s="47"/>
      <c r="D26" s="375" t="s">
        <v>564</v>
      </c>
      <c r="E26" s="376"/>
      <c r="F26" s="15"/>
      <c r="G26" s="377"/>
      <c r="H26" s="378"/>
      <c r="I26" s="378"/>
      <c r="J26" s="379"/>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 xml:space="preserve">Tin  </v>
      </c>
      <c r="C27" s="47"/>
      <c r="D27" s="375" t="s">
        <v>564</v>
      </c>
      <c r="E27" s="376"/>
      <c r="F27" s="15"/>
      <c r="G27" s="377"/>
      <c r="H27" s="378"/>
      <c r="I27" s="378"/>
      <c r="J27" s="379"/>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v>
      </c>
      <c r="C31" s="13"/>
      <c r="D31" s="395" t="str">
        <f ca="1">D25</f>
        <v>Answer</v>
      </c>
      <c r="E31" s="395"/>
      <c r="F31" s="21"/>
      <c r="G31" s="56" t="str">
        <f ca="1">G25</f>
        <v>Comments</v>
      </c>
      <c r="H31" s="56"/>
      <c r="I31" s="56"/>
      <c r="J31" s="100"/>
      <c r="K31" s="48"/>
      <c r="L31" s="141" t="s">
        <v>1384</v>
      </c>
      <c r="M31" s="135"/>
      <c r="N31" s="135"/>
      <c r="O31" s="136"/>
      <c r="P31" s="57">
        <f>COUNTIF(D$26:D$29,"No")</f>
        <v>3</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 xml:space="preserve">Tantalum  </v>
      </c>
      <c r="C32" s="13"/>
      <c r="D32" s="393" t="s">
        <v>564</v>
      </c>
      <c r="E32" s="394"/>
      <c r="F32" s="59"/>
      <c r="G32" s="377"/>
      <c r="H32" s="378"/>
      <c r="I32" s="378"/>
      <c r="J32" s="379"/>
      <c r="K32" s="48"/>
      <c r="L32" s="147"/>
      <c r="M32" s="137"/>
      <c r="N32" s="135"/>
      <c r="O32" s="136"/>
      <c r="P32" s="149" t="str">
        <f>IF(D$32="No","","(*)")</f>
        <v/>
      </c>
      <c r="Q32" s="12"/>
      <c r="R32" s="12"/>
      <c r="S32" s="12"/>
      <c r="T32" s="12"/>
      <c r="U32" s="12"/>
      <c r="V32" s="12"/>
      <c r="W32" s="12"/>
      <c r="X32" s="12"/>
      <c r="Y32" s="12"/>
      <c r="Z32" s="12"/>
      <c r="AA32" s="12"/>
      <c r="AB32" s="12"/>
      <c r="AC32" s="12"/>
      <c r="AD32" s="12"/>
      <c r="AE32" s="12"/>
      <c r="AF32" s="12"/>
      <c r="AG32" s="12"/>
      <c r="AH32" s="12"/>
    </row>
    <row r="33" spans="1:34" ht="22.5">
      <c r="A33" s="53"/>
      <c r="B33" s="52" t="str">
        <f ca="1">B27</f>
        <v xml:space="preserve">Tin  </v>
      </c>
      <c r="C33" s="13"/>
      <c r="D33" s="375" t="s">
        <v>564</v>
      </c>
      <c r="E33" s="376"/>
      <c r="F33" s="59"/>
      <c r="G33" s="377"/>
      <c r="H33" s="378"/>
      <c r="I33" s="378"/>
      <c r="J33" s="379"/>
      <c r="K33" s="48"/>
      <c r="L33" s="147"/>
      <c r="M33" s="135"/>
      <c r="N33" s="135"/>
      <c r="O33" s="136"/>
      <c r="P33" s="149" t="str">
        <f>IF(D$33="No","","(*)")</f>
        <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t="s">
        <v>564</v>
      </c>
      <c r="E35" s="376"/>
      <c r="F35" s="59"/>
      <c r="G35" s="377"/>
      <c r="H35" s="378"/>
      <c r="I35" s="378"/>
      <c r="J35" s="379"/>
      <c r="K35" s="48"/>
      <c r="L35" s="147"/>
      <c r="M35" s="135"/>
      <c r="N35" s="135"/>
      <c r="O35" s="136"/>
      <c r="P35" s="149" t="str">
        <f>IF(D$35="No","","(*)")</f>
        <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95" t="str">
        <f ca="1">D25</f>
        <v>Answer</v>
      </c>
      <c r="E37" s="395"/>
      <c r="F37" s="21"/>
      <c r="G37" s="56" t="str">
        <f ca="1">G25</f>
        <v>Comments</v>
      </c>
      <c r="H37" s="398"/>
      <c r="I37" s="398"/>
      <c r="J37" s="398"/>
      <c r="K37" s="48"/>
      <c r="L37" s="141" t="s">
        <v>1384</v>
      </c>
      <c r="M37" s="135"/>
      <c r="N37" s="135"/>
      <c r="O37" s="136"/>
      <c r="P37" s="57">
        <f>COUNTIF(D$26:D$29,"No")+COUNTIF(D$32:D$35,"No")</f>
        <v>6</v>
      </c>
      <c r="Q37" s="57" t="str">
        <f>IF(P37&gt;3,""," (*)")</f>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 xml:space="preserve">Tantalum  </v>
      </c>
      <c r="C38" s="13"/>
      <c r="D38" s="375" t="s">
        <v>564</v>
      </c>
      <c r="E38" s="376"/>
      <c r="F38" s="59"/>
      <c r="G38" s="377"/>
      <c r="H38" s="378"/>
      <c r="I38" s="378"/>
      <c r="J38" s="379"/>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 xml:space="preserve">Tin  </v>
      </c>
      <c r="C39" s="13"/>
      <c r="D39" s="375" t="s">
        <v>564</v>
      </c>
      <c r="E39" s="376"/>
      <c r="F39" s="59"/>
      <c r="G39" s="377"/>
      <c r="H39" s="378"/>
      <c r="I39" s="378"/>
      <c r="J39" s="379"/>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564</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t="s">
        <v>564</v>
      </c>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95" t="str">
        <f ca="1">D25</f>
        <v>Answer</v>
      </c>
      <c r="E43" s="395"/>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 xml:space="preserve">Tantalum  </v>
      </c>
      <c r="C44" s="13"/>
      <c r="D44" s="375" t="s">
        <v>564</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 xml:space="preserve">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565</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t="s">
        <v>564</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 xml:space="preserve">5) What percentage of relevant suppliers have provided a response to your supply chain survey? </v>
      </c>
      <c r="C49" s="13"/>
      <c r="D49" s="395" t="str">
        <f ca="1">D25</f>
        <v>Answer</v>
      </c>
      <c r="E49" s="395"/>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 xml:space="preserve">Tantalum  </v>
      </c>
      <c r="C50" s="47"/>
      <c r="D50" s="396" t="s">
        <v>566</v>
      </c>
      <c r="E50" s="397"/>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 xml:space="preserve">Tin  </v>
      </c>
      <c r="C51" s="47"/>
      <c r="D51" s="396" t="s">
        <v>566</v>
      </c>
      <c r="E51" s="397"/>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96" t="s">
        <v>566</v>
      </c>
      <c r="E52" s="397"/>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96" t="s">
        <v>566</v>
      </c>
      <c r="E53" s="397"/>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 xml:space="preserve">6) Have you identified all of the smelters supplying the 3TG to your supply chain? </v>
      </c>
      <c r="C55" s="13"/>
      <c r="D55" s="395" t="str">
        <f ca="1">D25</f>
        <v>Answer</v>
      </c>
      <c r="E55" s="395"/>
      <c r="F55" s="21"/>
      <c r="G55" s="56" t="str">
        <f ca="1">G25</f>
        <v>Comments</v>
      </c>
      <c r="H55" s="388"/>
      <c r="I55" s="388"/>
      <c r="J55" s="38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 xml:space="preserve">Tantalum  </v>
      </c>
      <c r="C56" s="13"/>
      <c r="D56" s="393" t="s">
        <v>564</v>
      </c>
      <c r="E56" s="394"/>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 xml:space="preserve">Tin  </v>
      </c>
      <c r="C57" s="13"/>
      <c r="D57" s="375" t="s">
        <v>564</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564</v>
      </c>
      <c r="E58" s="376"/>
      <c r="F58" s="59"/>
      <c r="G58" s="377" t="s">
        <v>15435</v>
      </c>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t="s">
        <v>564</v>
      </c>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 xml:space="preserve">7) Has all applicable smelter information received by your company been reported in this declaration? </v>
      </c>
      <c r="C61" s="13"/>
      <c r="D61" s="395" t="str">
        <f ca="1">D25</f>
        <v>Answer</v>
      </c>
      <c r="E61" s="395"/>
      <c r="F61" s="21"/>
      <c r="G61" s="56" t="str">
        <f ca="1">G25</f>
        <v>Comments</v>
      </c>
      <c r="H61" s="388" t="str">
        <f>IF(Q69="(*)","Click here to enter smelter names","")</f>
        <v/>
      </c>
      <c r="I61" s="388"/>
      <c r="J61" s="38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 xml:space="preserve">Tantalum  </v>
      </c>
      <c r="C62" s="47"/>
      <c r="D62" s="375" t="s">
        <v>564</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 xml:space="preserve">Tin  </v>
      </c>
      <c r="C63" s="47"/>
      <c r="D63" s="375" t="s">
        <v>564</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564</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t="s">
        <v>564</v>
      </c>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380" t="str">
        <f ca="1">OFFSET(L!$C$1,MATCH("Declaration"&amp;ADDRESS(ROW(),COLUMN(),4),L!$A:$A,0)-1,SL,,)</f>
        <v>Answer the Following Questions at a Company Level</v>
      </c>
      <c r="C67" s="380"/>
      <c r="D67" s="380"/>
      <c r="E67" s="380"/>
      <c r="F67" s="380"/>
      <c r="G67" s="380"/>
      <c r="H67" s="380"/>
      <c r="I67" s="380"/>
      <c r="J67" s="380"/>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389" t="str">
        <f ca="1">D25</f>
        <v>Answer</v>
      </c>
      <c r="E68" s="389"/>
      <c r="F68" s="65"/>
      <c r="G68" s="389" t="str">
        <f ca="1">G25</f>
        <v>Comments</v>
      </c>
      <c r="H68" s="389" t="e">
        <f>HLOOKUP(SL,LT,$O68,0)</f>
        <v>#NAME?</v>
      </c>
      <c r="I68" s="389"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v>
      </c>
      <c r="C69" s="69"/>
      <c r="D69" s="375" t="s">
        <v>564</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386"/>
      <c r="H70" s="386"/>
      <c r="I70" s="386"/>
      <c r="J70" s="386"/>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v>
      </c>
      <c r="C71" s="69"/>
      <c r="D71" s="375" t="s">
        <v>564</v>
      </c>
      <c r="E71" s="376"/>
      <c r="F71" s="69"/>
      <c r="G71" s="403"/>
      <c r="H71" s="404"/>
      <c r="I71" s="404"/>
      <c r="J71" s="405"/>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75" t="s">
        <v>564</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75" t="s">
        <v>564</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75" t="s">
        <v>564</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384" t="s">
        <v>564</v>
      </c>
      <c r="E79" s="385"/>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386"/>
      <c r="H80" s="386"/>
      <c r="I80" s="386"/>
      <c r="J80" s="386"/>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v>
      </c>
      <c r="C81" s="69"/>
      <c r="D81" s="375" t="s">
        <v>564</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387"/>
      <c r="H82" s="387"/>
      <c r="I82" s="387"/>
      <c r="J82" s="387"/>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v>
      </c>
      <c r="C83" s="69"/>
      <c r="D83" s="375" t="s">
        <v>564</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383" t="str">
        <f>IF(OR($D$8="",$I$3=""),"","Click here to check required fields completion")</f>
        <v/>
      </c>
      <c r="C86" s="383"/>
      <c r="D86" s="383"/>
      <c r="E86" s="383"/>
      <c r="F86" s="383"/>
      <c r="G86" s="383"/>
      <c r="H86" s="383"/>
      <c r="I86" s="383"/>
      <c r="J86" s="383"/>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381" t="str">
        <f ca="1">OFFSET(L!$C$1,MATCH("General"&amp;"Cpy",L!$A:$A,0)-1,SL,,)</f>
        <v>© 2018 Responsible Minerals Initiative. All rights reserved.</v>
      </c>
      <c r="B87" s="382"/>
      <c r="C87" s="382"/>
      <c r="D87" s="382"/>
      <c r="E87" s="382"/>
      <c r="F87" s="382"/>
      <c r="G87" s="382"/>
      <c r="H87" s="382"/>
      <c r="I87" s="382"/>
      <c r="J87" s="382"/>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70" priority="51" stopIfTrue="1">
      <formula>AND(OR($D$26="No",AND($D$26="Yes",$D$32="No")),OR($D$27="No",AND($D$27="Yes",$D$33="No")), OR($D$28="No",AND($D$28="Yes",$D$34="No")), OR($D$29="No",AND($D$29="Yes",$D$35="No")))</formula>
    </cfRule>
    <cfRule type="expression" dxfId="69" priority="52" stopIfTrue="1">
      <formula>IF(D69="",TRUE)</formula>
    </cfRule>
  </conditionalFormatting>
  <conditionalFormatting sqref="G71:J71">
    <cfRule type="expression" dxfId="68" priority="23" stopIfTrue="1">
      <formula>IF(AND($D$71="Yes",$G$71=""),TRUE)</formula>
    </cfRule>
  </conditionalFormatting>
  <conditionalFormatting sqref="D26:E26">
    <cfRule type="expression" dxfId="67" priority="103" stopIfTrue="1">
      <formula>IF($D$26="",TRUE)</formula>
    </cfRule>
  </conditionalFormatting>
  <conditionalFormatting sqref="D27:E27">
    <cfRule type="expression" dxfId="66" priority="110" stopIfTrue="1">
      <formula>IF($D$27="",TRUE)</formula>
    </cfRule>
  </conditionalFormatting>
  <conditionalFormatting sqref="D28:E28">
    <cfRule type="expression" dxfId="65" priority="111" stopIfTrue="1">
      <formula>IF($D$28="",TRUE)</formula>
    </cfRule>
  </conditionalFormatting>
  <conditionalFormatting sqref="D29:E29">
    <cfRule type="expression" dxfId="64" priority="112" stopIfTrue="1">
      <formula>IF($D$29="",TRUE)</formula>
    </cfRule>
  </conditionalFormatting>
  <conditionalFormatting sqref="D8:J8">
    <cfRule type="expression" dxfId="63" priority="117" stopIfTrue="1">
      <formula>IF($D$8="",TRUE)</formula>
    </cfRule>
  </conditionalFormatting>
  <conditionalFormatting sqref="D9:G9">
    <cfRule type="expression" dxfId="62" priority="118" stopIfTrue="1">
      <formula>IF($D$9="",TRUE)</formula>
    </cfRule>
  </conditionalFormatting>
  <conditionalFormatting sqref="D15:J15">
    <cfRule type="expression" dxfId="61" priority="119" stopIfTrue="1">
      <formula>IF($D$15="",TRUE)</formula>
    </cfRule>
  </conditionalFormatting>
  <conditionalFormatting sqref="D16:J16">
    <cfRule type="expression" dxfId="60" priority="120" stopIfTrue="1">
      <formula>IF($D$16="",TRUE)</formula>
    </cfRule>
  </conditionalFormatting>
  <conditionalFormatting sqref="D17:J17">
    <cfRule type="expression" dxfId="59" priority="121" stopIfTrue="1">
      <formula>IF($D$17="",TRUE)</formula>
    </cfRule>
  </conditionalFormatting>
  <conditionalFormatting sqref="D18:J18">
    <cfRule type="expression" dxfId="58" priority="122" stopIfTrue="1">
      <formula>IF($D$18="",TRUE)</formula>
    </cfRule>
  </conditionalFormatting>
  <conditionalFormatting sqref="D22:E22">
    <cfRule type="expression" dxfId="57" priority="125" stopIfTrue="1">
      <formula>IF($D$22="",TRUE)</formula>
    </cfRule>
  </conditionalFormatting>
  <conditionalFormatting sqref="D10:J10">
    <cfRule type="expression" dxfId="56" priority="22" stopIfTrue="1">
      <formula>IF($D$9=$Q$9,TRUE)</formula>
    </cfRule>
    <cfRule type="expression" dxfId="55" priority="132" stopIfTrue="1">
      <formula>IF(AND($D$10="",$D$9=$R$9),TRUE)</formula>
    </cfRule>
  </conditionalFormatting>
  <conditionalFormatting sqref="D34:E34 D40:E40 D46:E46 D52:E52 D58:E58 D64:E64">
    <cfRule type="expression" dxfId="54" priority="15" stopIfTrue="1">
      <formula>$P$28=""</formula>
    </cfRule>
  </conditionalFormatting>
  <conditionalFormatting sqref="D35:E35 D41:E41 D47:E47 D53:E53 D59:E59 D65:E65">
    <cfRule type="expression" dxfId="53" priority="130" stopIfTrue="1">
      <formula>$P$29=""</formula>
    </cfRule>
  </conditionalFormatting>
  <conditionalFormatting sqref="D32:E32">
    <cfRule type="expression" dxfId="52" priority="108" stopIfTrue="1">
      <formula>$P$26=""</formula>
    </cfRule>
  </conditionalFormatting>
  <conditionalFormatting sqref="D32:E32">
    <cfRule type="expression" dxfId="51" priority="21" stopIfTrue="1">
      <formula>IF(AND(OR($D$26="Yes",$D$26=""),$D$32=""),1,0)</formula>
    </cfRule>
  </conditionalFormatting>
  <conditionalFormatting sqref="D38 D44 D50 D56 D62">
    <cfRule type="expression" dxfId="50" priority="17" stopIfTrue="1">
      <formula>$P$32=""</formula>
    </cfRule>
  </conditionalFormatting>
  <conditionalFormatting sqref="D39:E39 D45 D51 D57 D63">
    <cfRule type="expression" dxfId="49" priority="16" stopIfTrue="1">
      <formula>$P$33=""</formula>
    </cfRule>
  </conditionalFormatting>
  <conditionalFormatting sqref="D40 D46 D52 D58 D64">
    <cfRule type="expression" dxfId="48" priority="6" stopIfTrue="1">
      <formula>$P$34=""</formula>
    </cfRule>
    <cfRule type="expression" dxfId="47" priority="128" stopIfTrue="1">
      <formula>IF(AND(OR($D$28="Yes",$D$28=""),D40=""),1,0)</formula>
    </cfRule>
  </conditionalFormatting>
  <conditionalFormatting sqref="D41 D47 D53 D59 D65">
    <cfRule type="expression" dxfId="46" priority="14" stopIfTrue="1">
      <formula>$P$35=""</formula>
    </cfRule>
  </conditionalFormatting>
  <conditionalFormatting sqref="D38:E38 D44:E44 D50:E50 D56:E56 D62:E62">
    <cfRule type="expression" dxfId="45" priority="19" stopIfTrue="1">
      <formula>$P$26=""</formula>
    </cfRule>
    <cfRule type="expression" dxfId="44" priority="20" stopIfTrue="1">
      <formula>IF(AND(OR($D$26="Yes",$D$26=""),D38=""),1,0)</formula>
    </cfRule>
  </conditionalFormatting>
  <conditionalFormatting sqref="G79:J79">
    <cfRule type="expression" dxfId="43" priority="13" stopIfTrue="1">
      <formula>IF(AND($D$79="Yes, using other format (describe)",$G$79=""),TRUE)</formula>
    </cfRule>
  </conditionalFormatting>
  <conditionalFormatting sqref="D39:E39 D45:E45 D51:E51 D57:E57 D63:E63">
    <cfRule type="expression" dxfId="42" priority="126" stopIfTrue="1">
      <formula>$P$39=""</formula>
    </cfRule>
    <cfRule type="expression" dxfId="41" priority="127" stopIfTrue="1">
      <formula>IF(AND(OR($D$27="Yes",$D$27=""),D39=""),1,0)</formula>
    </cfRule>
  </conditionalFormatting>
  <conditionalFormatting sqref="D33:E33">
    <cfRule type="expression" dxfId="40" priority="8" stopIfTrue="1">
      <formula>IF(AND(OR($D$27="Yes",$D$27=""),$D$33=""),1,0)</formula>
    </cfRule>
    <cfRule type="expression" dxfId="39" priority="9" stopIfTrue="1">
      <formula>$P$27=""</formula>
    </cfRule>
  </conditionalFormatting>
  <conditionalFormatting sqref="D34:E34">
    <cfRule type="expression" dxfId="38" priority="129" stopIfTrue="1">
      <formula>IF(AND(OR($D$28="Yes",$D$28=""),$D$34=""),1,0)</formula>
    </cfRule>
  </conditionalFormatting>
  <conditionalFormatting sqref="D41:E41 D47:E47 D53:E53 D59:E59 D65:E65">
    <cfRule type="expression" dxfId="37" priority="131" stopIfTrue="1">
      <formula>IF(AND(OR($D$29="Yes",$D$29=""),D41=""),1,0)</formula>
    </cfRule>
  </conditionalFormatting>
  <conditionalFormatting sqref="D35:E35">
    <cfRule type="expression" dxfId="36" priority="5" stopIfTrue="1">
      <formula>IF(AND(OR($D$29="Yes",$D$29=""),$D$35=""),1,0)</formula>
    </cfRule>
  </conditionalFormatting>
  <conditionalFormatting sqref="D20:J20">
    <cfRule type="expression" dxfId="35" priority="1" stopIfTrue="1">
      <formula>IF($D$20="",TRUE)</formula>
    </cfRule>
  </conditionalFormatting>
  <conditionalFormatting sqref="D21:J21">
    <cfRule type="expression" dxfId="3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D15" r:id="rId3"/>
    <hyperlink ref="D16" r:id="rId4"/>
    <hyperlink ref="D20" r:id="rId5"/>
  </hyperlinks>
  <pageMargins left="0.70866141732283505" right="0.70866141732283505" top="0.74803149606299202" bottom="0.74803149606299202" header="0.31496062992126" footer="0.31496062992126"/>
  <pageSetup scale="41" fitToHeight="0" orientation="portrait" r:id="rId6"/>
  <rowBreaks count="1" manualBreakCount="1">
    <brk id="60"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11" activePane="bottomLeft" state="frozen"/>
      <selection activeCell="A2" sqref="A2"/>
      <selection pane="bottomLeft" activeCell="J3" sqref="J3"/>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2" t="str">
        <f ca="1">OFFSET(L!$C$1,MATCH("Smelter List"&amp;ADDRESS(ROW(),COLUMN(),4),L!$A:$A,0)-1,SL,,)</f>
        <v>Link to "RMAP Conformant Smelter List"</v>
      </c>
      <c r="K2" s="433"/>
      <c r="L2" s="433"/>
      <c r="M2" s="433"/>
      <c r="N2" s="433"/>
      <c r="O2" s="433"/>
      <c r="P2" s="271"/>
      <c r="Q2" s="272"/>
      <c r="R2" s="273"/>
      <c r="S2" s="273"/>
      <c r="T2" s="273"/>
      <c r="U2" s="203"/>
      <c r="V2" s="203"/>
      <c r="W2" s="204"/>
      <c r="X2" s="203"/>
      <c r="Y2" s="203"/>
      <c r="Z2" s="203"/>
      <c r="AH2" s="184" t="s">
        <v>563</v>
      </c>
    </row>
    <row r="3" spans="1:34" s="25" customFormat="1" ht="274.5" customHeight="1">
      <c r="A3" s="222"/>
      <c r="B3" s="43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4"/>
      <c r="D3" s="434"/>
      <c r="E3" s="434"/>
      <c r="F3" s="274"/>
      <c r="G3" s="435" t="str">
        <f ca="1">OFFSET(L!$C$1,MATCH("General"&amp;"Cpy",L!$A:$A,0)-1,SL,,)</f>
        <v>© 2018 Responsible Minerals Initiative. All rights reserved.</v>
      </c>
      <c r="H3" s="435"/>
      <c r="I3" s="436"/>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20.25">
      <c r="A5" s="445"/>
      <c r="B5" s="236" t="str">
        <f>IF(LEN(A5)=0,"",INDEX('Smelter Look-up'!$A:$A,MATCH($A5,'Smelter Look-up'!$E:$E,0)))</f>
        <v/>
      </c>
      <c r="C5" s="242" t="str">
        <f>IF(LEN(A5)=0,"",INDEX('Smelter Look-up'!$C:$C,MATCH($A5,'Smelter Look-up'!$E:$E,0)))</f>
        <v/>
      </c>
      <c r="D5" s="236"/>
      <c r="E5" s="236" t="str">
        <f ca="1">IF(ISERROR($V5),"",OFFSET('Smelter Look-up'!$D$4,$V5-4,0)&amp;"")</f>
        <v/>
      </c>
      <c r="F5" s="236" t="str">
        <f ca="1">IF(ISERROR($V5),"",OFFSET('Smelter Look-up'!$E$4,$V5-4,0))</f>
        <v/>
      </c>
      <c r="G5" s="236" t="str">
        <f ca="1">IF(C5=$X$4,"Enter smelter details", IF(ISERROR($V5),"",OFFSET('Smelter Look-up'!$F$4,$V5-4,0)))</f>
        <v/>
      </c>
      <c r="H5" s="237" t="str">
        <f ca="1">IF(ISERROR($V5),"",OFFSET('Smelter Look-up'!$G$4,$V5-4,0))</f>
        <v/>
      </c>
      <c r="I5" s="238" t="str">
        <f ca="1">IF(ISERROR($V5),"",OFFSET('Smelter Look-up'!$H$4,$V5-4,0))</f>
        <v/>
      </c>
      <c r="J5" s="238" t="str">
        <f ca="1">IF(ISERROR($V5),"",OFFSET('Smelter Look-up'!$I$4,$V5-4,0))</f>
        <v/>
      </c>
      <c r="K5" s="240"/>
      <c r="L5" s="240"/>
      <c r="M5" s="240"/>
      <c r="N5" s="240"/>
      <c r="O5" s="240"/>
      <c r="P5" s="239"/>
      <c r="Q5" s="241"/>
      <c r="R5" s="236" t="str">
        <f ca="1">IF(ISERROR($V5),"",OFFSET('Smelter Look-up'!$C$4,$V5-4,0)&amp;"")</f>
        <v/>
      </c>
      <c r="S5" s="250" t="str">
        <f t="shared" ref="S5:S58" ca="1" si="0">IF(B5="","",IF(ISERROR(MATCH($E5,CL,0)),"Unknown",INDIRECT("'C'!$A$"&amp;MATCH($E5,CL,0)+1)))</f>
        <v/>
      </c>
      <c r="T5" s="250" t="str">
        <f ca="1">IF(B5="","",IF(ISERROR(MATCH($J5,SorP!$B$1:$B$6230,0)),"",INDIRECT("'SorP'!$A$"&amp;MATCH($J5,SorP!$B$1:$B$6230,0))))</f>
        <v/>
      </c>
      <c r="U5" s="280"/>
      <c r="V5" s="281" t="e">
        <f>IF(C5="",NA(),MATCH($B5&amp;$C5,'Smelter Look-up'!$J:$J,0))</f>
        <v>#N/A</v>
      </c>
      <c r="W5" s="282"/>
      <c r="X5" s="282">
        <f t="shared" ref="X5:X58" ca="1" si="1">IF(AND(C5="Smelter not listed",OR(LEN(D5)=0,LEN(E5)=0)),1,0)</f>
        <v>0</v>
      </c>
      <c r="Y5" s="282"/>
      <c r="Z5" s="282"/>
      <c r="AB5" s="284" t="str">
        <f t="shared" ref="AB5:AB58" si="2">B5&amp;C5</f>
        <v/>
      </c>
    </row>
    <row r="6" spans="1:34" s="283" customFormat="1" ht="20.25">
      <c r="A6" s="235"/>
      <c r="B6" s="236" t="str">
        <f>IF(LEN(A6)=0,"",INDEX('Smelter Look-up'!$A:$A,MATCH($A6,'Smelter Look-up'!$E:$E,0)))</f>
        <v/>
      </c>
      <c r="C6" s="242" t="str">
        <f>IF(LEN(A6)=0,"",INDEX('Smelter Look-up'!$C:$C,MATCH($A6,'Smelter Look-up'!$E:$E,0)))</f>
        <v/>
      </c>
      <c r="D6" s="236"/>
      <c r="E6" s="236" t="str">
        <f ca="1">IF(ISERROR($V6),"",OFFSET('Smelter Look-up'!$D$4,$V6-4,0)&amp;"")</f>
        <v/>
      </c>
      <c r="F6" s="236" t="str">
        <f ca="1">IF(ISERROR($V6),"",OFFSET('Smelter Look-up'!$E$4,$V6-4,0))</f>
        <v/>
      </c>
      <c r="G6" s="236" t="str">
        <f ca="1">IF(C6=$X$4,"Enter smelter details", IF(ISERROR($V6),"",OFFSET('Smelter Look-up'!$F$4,$V6-4,0)))</f>
        <v/>
      </c>
      <c r="H6" s="237" t="str">
        <f ca="1">IF(ISERROR($V6),"",OFFSET('Smelter Look-up'!$G$4,$V6-4,0))</f>
        <v/>
      </c>
      <c r="I6" s="238" t="str">
        <f ca="1">IF(ISERROR($V6),"",OFFSET('Smelter Look-up'!$H$4,$V6-4,0))</f>
        <v/>
      </c>
      <c r="J6" s="238" t="str">
        <f ca="1">IF(ISERROR($V6),"",OFFSET('Smelter Look-up'!$I$4,$V6-4,0))</f>
        <v/>
      </c>
      <c r="K6" s="240"/>
      <c r="L6" s="240"/>
      <c r="M6" s="240"/>
      <c r="N6" s="240"/>
      <c r="O6" s="240"/>
      <c r="P6" s="239"/>
      <c r="Q6" s="241"/>
      <c r="R6" s="236" t="str">
        <f ca="1">IF(ISERROR($V6),"",OFFSET('Smelter Look-up'!$C$4,$V6-4,0)&amp;"")</f>
        <v/>
      </c>
      <c r="S6" s="250" t="str">
        <f t="shared" ca="1" si="0"/>
        <v/>
      </c>
      <c r="T6" s="250" t="str">
        <f ca="1">IF(B6="","",IF(ISERROR(MATCH($J6,SorP!$B$1:$B$6230,0)),"",INDIRECT("'SorP'!$A$"&amp;MATCH($J6,SorP!$B$1:$B$6230,0))))</f>
        <v/>
      </c>
      <c r="U6" s="280"/>
      <c r="V6" s="281" t="e">
        <f>IF(C6="",NA(),MATCH($B6&amp;$C6,'Smelter Look-up'!$J:$J,0))</f>
        <v>#N/A</v>
      </c>
      <c r="W6" s="282"/>
      <c r="X6" s="282">
        <f t="shared" ca="1" si="1"/>
        <v>0</v>
      </c>
      <c r="Y6" s="282"/>
      <c r="Z6" s="282"/>
      <c r="AB6" s="284" t="str">
        <f t="shared" si="2"/>
        <v/>
      </c>
    </row>
    <row r="7" spans="1:34" s="283" customFormat="1" ht="20.25">
      <c r="A7" s="235"/>
      <c r="B7" s="236" t="str">
        <f>IF(LEN(A7)=0,"",INDEX('Smelter Look-up'!$A:$A,MATCH($A7,'Smelter Look-up'!$E:$E,0)))</f>
        <v/>
      </c>
      <c r="C7" s="242" t="str">
        <f>IF(LEN(A7)=0,"",INDEX('Smelter Look-up'!$C:$C,MATCH($A7,'Smelter Look-up'!$E:$E,0)))</f>
        <v/>
      </c>
      <c r="D7" s="236"/>
      <c r="E7" s="236" t="str">
        <f ca="1">IF(ISERROR($V7),"",OFFSET('Smelter Look-up'!$D$4,$V7-4,0)&amp;"")</f>
        <v/>
      </c>
      <c r="F7" s="236" t="str">
        <f ca="1">IF(ISERROR($V7),"",OFFSET('Smelter Look-up'!$E$4,$V7-4,0))</f>
        <v/>
      </c>
      <c r="G7" s="236" t="str">
        <f ca="1">IF(C7=$X$4,"Enter smelter details", IF(ISERROR($V7),"",OFFSET('Smelter Look-up'!$F$4,$V7-4,0)))</f>
        <v/>
      </c>
      <c r="H7" s="237" t="str">
        <f ca="1">IF(ISERROR($V7),"",OFFSET('Smelter Look-up'!$G$4,$V7-4,0))</f>
        <v/>
      </c>
      <c r="I7" s="238" t="str">
        <f ca="1">IF(ISERROR($V7),"",OFFSET('Smelter Look-up'!$H$4,$V7-4,0))</f>
        <v/>
      </c>
      <c r="J7" s="238" t="str">
        <f ca="1">IF(ISERROR($V7),"",OFFSET('Smelter Look-up'!$I$4,$V7-4,0))</f>
        <v/>
      </c>
      <c r="K7" s="240"/>
      <c r="L7" s="240"/>
      <c r="M7" s="240"/>
      <c r="N7" s="240"/>
      <c r="O7" s="240"/>
      <c r="P7" s="239"/>
      <c r="Q7" s="241"/>
      <c r="R7" s="236" t="str">
        <f ca="1">IF(ISERROR($V7),"",OFFSET('Smelter Look-up'!$C$4,$V7-4,0)&amp;"")</f>
        <v/>
      </c>
      <c r="S7" s="250" t="str">
        <f t="shared" ca="1" si="0"/>
        <v/>
      </c>
      <c r="T7" s="250" t="str">
        <f ca="1">IF(B7="","",IF(ISERROR(MATCH($J7,SorP!$B$1:$B$6230,0)),"",INDIRECT("'SorP'!$A$"&amp;MATCH($J7,SorP!$B$1:$B$6230,0))))</f>
        <v/>
      </c>
      <c r="U7" s="280"/>
      <c r="V7" s="281" t="e">
        <f>IF(C7="",NA(),MATCH($B7&amp;$C7,'Smelter Look-up'!$J:$J,0))</f>
        <v>#N/A</v>
      </c>
      <c r="W7" s="282"/>
      <c r="X7" s="282">
        <f t="shared" ca="1" si="1"/>
        <v>0</v>
      </c>
      <c r="Y7" s="282"/>
      <c r="Z7" s="282"/>
      <c r="AB7" s="284" t="str">
        <f t="shared" si="2"/>
        <v/>
      </c>
    </row>
    <row r="8" spans="1:34" s="283" customFormat="1" ht="20.25">
      <c r="A8" s="235"/>
      <c r="B8" s="236" t="str">
        <f>IF(LEN(A8)=0,"",INDEX('Smelter Look-up'!$A:$A,MATCH($A8,'Smelter Look-up'!$E:$E,0)))</f>
        <v/>
      </c>
      <c r="C8" s="242" t="str">
        <f>IF(LEN(A8)=0,"",INDEX('Smelter Look-up'!$C:$C,MATCH($A8,'Smelter Look-up'!$E:$E,0)))</f>
        <v/>
      </c>
      <c r="D8" s="236"/>
      <c r="E8" s="236" t="str">
        <f ca="1">IF(ISERROR($V8),"",OFFSET('Smelter Look-up'!$D$4,$V8-4,0)&amp;"")</f>
        <v/>
      </c>
      <c r="F8" s="236" t="str">
        <f ca="1">IF(ISERROR($V8),"",OFFSET('Smelter Look-up'!$E$4,$V8-4,0))</f>
        <v/>
      </c>
      <c r="G8" s="236" t="str">
        <f ca="1">IF(C8=$X$4,"Enter smelter details", IF(ISERROR($V8),"",OFFSET('Smelter Look-up'!$F$4,$V8-4,0)))</f>
        <v/>
      </c>
      <c r="H8" s="237" t="str">
        <f ca="1">IF(ISERROR($V8),"",OFFSET('Smelter Look-up'!$G$4,$V8-4,0))</f>
        <v/>
      </c>
      <c r="I8" s="238" t="str">
        <f ca="1">IF(ISERROR($V8),"",OFFSET('Smelter Look-up'!$H$4,$V8-4,0))</f>
        <v/>
      </c>
      <c r="J8" s="238" t="str">
        <f ca="1">IF(ISERROR($V8),"",OFFSET('Smelter Look-up'!$I$4,$V8-4,0))</f>
        <v/>
      </c>
      <c r="K8" s="240"/>
      <c r="L8" s="240"/>
      <c r="M8" s="240"/>
      <c r="N8" s="240"/>
      <c r="O8" s="240"/>
      <c r="P8" s="239"/>
      <c r="Q8" s="241"/>
      <c r="R8" s="236" t="str">
        <f ca="1">IF(ISERROR($V8),"",OFFSET('Smelter Look-up'!$C$4,$V8-4,0)&amp;"")</f>
        <v/>
      </c>
      <c r="S8" s="250" t="str">
        <f t="shared" ca="1" si="0"/>
        <v/>
      </c>
      <c r="T8" s="250" t="str">
        <f ca="1">IF(B8="","",IF(ISERROR(MATCH($J8,SorP!$B$1:$B$6230,0)),"",INDIRECT("'SorP'!$A$"&amp;MATCH($J8,SorP!$B$1:$B$6230,0))))</f>
        <v/>
      </c>
      <c r="U8" s="280"/>
      <c r="V8" s="281" t="e">
        <f>IF(C8="",NA(),MATCH($B8&amp;$C8,'Smelter Look-up'!$J:$J,0))</f>
        <v>#N/A</v>
      </c>
      <c r="W8" s="282"/>
      <c r="X8" s="282">
        <f t="shared" ca="1" si="1"/>
        <v>0</v>
      </c>
      <c r="Y8" s="282"/>
      <c r="Z8" s="282"/>
      <c r="AB8" s="284" t="str">
        <f t="shared" si="2"/>
        <v/>
      </c>
    </row>
    <row r="9" spans="1:34" s="283" customFormat="1" ht="20.25">
      <c r="A9" s="235"/>
      <c r="B9" s="236" t="str">
        <f>IF(LEN(A9)=0,"",INDEX('Smelter Look-up'!$A:$A,MATCH($A9,'Smelter Look-up'!$E:$E,0)))</f>
        <v/>
      </c>
      <c r="C9" s="242" t="str">
        <f>IF(LEN(A9)=0,"",INDEX('Smelter Look-up'!$C:$C,MATCH($A9,'Smelter Look-up'!$E:$E,0)))</f>
        <v/>
      </c>
      <c r="D9" s="236"/>
      <c r="E9" s="236" t="str">
        <f ca="1">IF(ISERROR($V9),"",OFFSET('Smelter Look-up'!$D$4,$V9-4,0)&amp;"")</f>
        <v/>
      </c>
      <c r="F9" s="236" t="str">
        <f ca="1">IF(ISERROR($V9),"",OFFSET('Smelter Look-up'!$E$4,$V9-4,0))</f>
        <v/>
      </c>
      <c r="G9" s="236" t="str">
        <f ca="1">IF(C9=$X$4,"Enter smelter details", IF(ISERROR($V9),"",OFFSET('Smelter Look-up'!$F$4,$V9-4,0)))</f>
        <v/>
      </c>
      <c r="H9" s="237" t="str">
        <f ca="1">IF(ISERROR($V9),"",OFFSET('Smelter Look-up'!$G$4,$V9-4,0))</f>
        <v/>
      </c>
      <c r="I9" s="238" t="str">
        <f ca="1">IF(ISERROR($V9),"",OFFSET('Smelter Look-up'!$H$4,$V9-4,0))</f>
        <v/>
      </c>
      <c r="J9" s="238" t="str">
        <f ca="1">IF(ISERROR($V9),"",OFFSET('Smelter Look-up'!$I$4,$V9-4,0))</f>
        <v/>
      </c>
      <c r="K9" s="240"/>
      <c r="L9" s="240"/>
      <c r="M9" s="240"/>
      <c r="N9" s="240"/>
      <c r="O9" s="240"/>
      <c r="P9" s="239"/>
      <c r="Q9" s="241"/>
      <c r="R9" s="236" t="str">
        <f ca="1">IF(ISERROR($V9),"",OFFSET('Smelter Look-up'!$C$4,$V9-4,0)&amp;"")</f>
        <v/>
      </c>
      <c r="S9" s="250" t="str">
        <f t="shared" ca="1" si="0"/>
        <v/>
      </c>
      <c r="T9" s="250" t="str">
        <f ca="1">IF(B9="","",IF(ISERROR(MATCH($J9,SorP!$B$1:$B$6230,0)),"",INDIRECT("'SorP'!$A$"&amp;MATCH($J9,SorP!$B$1:$B$6230,0))))</f>
        <v/>
      </c>
      <c r="U9" s="280"/>
      <c r="V9" s="281" t="e">
        <f>IF(C9="",NA(),MATCH($B9&amp;$C9,'Smelter Look-up'!$J:$J,0))</f>
        <v>#N/A</v>
      </c>
      <c r="W9" s="282"/>
      <c r="X9" s="282">
        <f t="shared" ca="1" si="1"/>
        <v>0</v>
      </c>
      <c r="Y9" s="282"/>
      <c r="Z9" s="282"/>
      <c r="AB9" s="284" t="str">
        <f t="shared" si="2"/>
        <v/>
      </c>
    </row>
    <row r="10" spans="1:34" s="283" customFormat="1" ht="20.25">
      <c r="A10" s="235"/>
      <c r="B10" s="236" t="str">
        <f>IF(LEN(A10)=0,"",INDEX('Smelter Look-up'!$A:$A,MATCH($A10,'Smelter Look-up'!$E:$E,0)))</f>
        <v/>
      </c>
      <c r="C10" s="242" t="str">
        <f>IF(LEN(A10)=0,"",INDEX('Smelter Look-up'!$C:$C,MATCH($A10,'Smelter Look-up'!$E:$E,0)))</f>
        <v/>
      </c>
      <c r="D10" s="236"/>
      <c r="E10" s="236" t="str">
        <f ca="1">IF(ISERROR($V10),"",OFFSET('Smelter Look-up'!$D$4,$V10-4,0)&amp;"")</f>
        <v/>
      </c>
      <c r="F10" s="236" t="str">
        <f ca="1">IF(ISERROR($V10),"",OFFSET('Smelter Look-up'!$E$4,$V10-4,0))</f>
        <v/>
      </c>
      <c r="G10" s="236" t="str">
        <f ca="1">IF(C10=$X$4,"Enter smelter details", IF(ISERROR($V10),"",OFFSET('Smelter Look-up'!$F$4,$V10-4,0)))</f>
        <v/>
      </c>
      <c r="H10" s="237" t="str">
        <f ca="1">IF(ISERROR($V10),"",OFFSET('Smelter Look-up'!$G$4,$V10-4,0))</f>
        <v/>
      </c>
      <c r="I10" s="238" t="str">
        <f ca="1">IF(ISERROR($V10),"",OFFSET('Smelter Look-up'!$H$4,$V10-4,0))</f>
        <v/>
      </c>
      <c r="J10" s="238" t="str">
        <f ca="1">IF(ISERROR($V10),"",OFFSET('Smelter Look-up'!$I$4,$V10-4,0))</f>
        <v/>
      </c>
      <c r="K10" s="240"/>
      <c r="L10" s="240"/>
      <c r="M10" s="240"/>
      <c r="N10" s="240"/>
      <c r="O10" s="240"/>
      <c r="P10" s="239"/>
      <c r="Q10" s="241"/>
      <c r="R10" s="236" t="str">
        <f ca="1">IF(ISERROR($V10),"",OFFSET('Smelter Look-up'!$C$4,$V10-4,0)&amp;"")</f>
        <v/>
      </c>
      <c r="S10" s="250" t="str">
        <f t="shared" ca="1" si="0"/>
        <v/>
      </c>
      <c r="T10" s="250" t="str">
        <f ca="1">IF(B10="","",IF(ISERROR(MATCH($J10,SorP!$B$1:$B$6230,0)),"",INDIRECT("'SorP'!$A$"&amp;MATCH($J10,SorP!$B$1:$B$6230,0))))</f>
        <v/>
      </c>
      <c r="U10" s="280"/>
      <c r="V10" s="281" t="e">
        <f>IF(C10="",NA(),MATCH($B10&amp;$C10,'Smelter Look-up'!$J:$J,0))</f>
        <v>#N/A</v>
      </c>
      <c r="W10" s="282"/>
      <c r="X10" s="282">
        <f t="shared" ca="1" si="1"/>
        <v>0</v>
      </c>
      <c r="Y10" s="282"/>
      <c r="Z10" s="282"/>
      <c r="AB10" s="284" t="str">
        <f t="shared" si="2"/>
        <v/>
      </c>
    </row>
    <row r="11" spans="1:34" s="283" customFormat="1" ht="20.25">
      <c r="A11" s="235"/>
      <c r="B11" s="236" t="str">
        <f>IF(LEN(A11)=0,"",INDEX('Smelter Look-up'!$A:$A,MATCH($A11,'Smelter Look-up'!$E:$E,0)))</f>
        <v/>
      </c>
      <c r="C11" s="242" t="str">
        <f>IF(LEN(A11)=0,"",INDEX('Smelter Look-up'!$C:$C,MATCH($A11,'Smelter Look-up'!$E:$E,0)))</f>
        <v/>
      </c>
      <c r="D11" s="236"/>
      <c r="E11" s="236" t="str">
        <f ca="1">IF(ISERROR($V11),"",OFFSET('Smelter Look-up'!$D$4,$V11-4,0)&amp;"")</f>
        <v/>
      </c>
      <c r="F11" s="236" t="str">
        <f ca="1">IF(ISERROR($V11),"",OFFSET('Smelter Look-up'!$E$4,$V11-4,0))</f>
        <v/>
      </c>
      <c r="G11" s="236" t="str">
        <f ca="1">IF(C11=$X$4,"Enter smelter details", IF(ISERROR($V11),"",OFFSET('Smelter Look-up'!$F$4,$V11-4,0)))</f>
        <v/>
      </c>
      <c r="H11" s="237" t="str">
        <f ca="1">IF(ISERROR($V11),"",OFFSET('Smelter Look-up'!$G$4,$V11-4,0))</f>
        <v/>
      </c>
      <c r="I11" s="238" t="str">
        <f ca="1">IF(ISERROR($V11),"",OFFSET('Smelter Look-up'!$H$4,$V11-4,0))</f>
        <v/>
      </c>
      <c r="J11" s="238" t="str">
        <f ca="1">IF(ISERROR($V11),"",OFFSET('Smelter Look-up'!$I$4,$V11-4,0))</f>
        <v/>
      </c>
      <c r="K11" s="240"/>
      <c r="L11" s="240"/>
      <c r="M11" s="240"/>
      <c r="N11" s="240"/>
      <c r="O11" s="240"/>
      <c r="P11" s="239"/>
      <c r="Q11" s="241"/>
      <c r="R11" s="236" t="str">
        <f ca="1">IF(ISERROR($V11),"",OFFSET('Smelter Look-up'!$C$4,$V11-4,0)&amp;"")</f>
        <v/>
      </c>
      <c r="S11" s="250" t="str">
        <f t="shared" ca="1" si="0"/>
        <v/>
      </c>
      <c r="T11" s="250" t="str">
        <f ca="1">IF(B11="","",IF(ISERROR(MATCH($J11,SorP!$B$1:$B$6230,0)),"",INDIRECT("'SorP'!$A$"&amp;MATCH($J11,SorP!$B$1:$B$6230,0))))</f>
        <v/>
      </c>
      <c r="U11" s="280"/>
      <c r="V11" s="281" t="e">
        <f>IF(C11="",NA(),MATCH($B11&amp;$C11,'Smelter Look-up'!$J:$J,0))</f>
        <v>#N/A</v>
      </c>
      <c r="W11" s="282"/>
      <c r="X11" s="282">
        <f t="shared" ca="1" si="1"/>
        <v>0</v>
      </c>
      <c r="Y11" s="282"/>
      <c r="Z11" s="282"/>
      <c r="AB11" s="284" t="str">
        <f t="shared" si="2"/>
        <v/>
      </c>
    </row>
    <row r="12" spans="1:34" s="283" customFormat="1" ht="20.25">
      <c r="A12" s="235"/>
      <c r="B12" s="236" t="str">
        <f>IF(LEN(A12)=0,"",INDEX('Smelter Look-up'!$A:$A,MATCH($A12,'Smelter Look-up'!$E:$E,0)))</f>
        <v/>
      </c>
      <c r="C12" s="242" t="str">
        <f>IF(LEN(A12)=0,"",INDEX('Smelter Look-up'!$C:$C,MATCH($A12,'Smelter Look-up'!$E:$E,0)))</f>
        <v/>
      </c>
      <c r="D12" s="236"/>
      <c r="E12" s="236" t="str">
        <f ca="1">IF(ISERROR($V12),"",OFFSET('Smelter Look-up'!$D$4,$V12-4,0)&amp;"")</f>
        <v/>
      </c>
      <c r="F12" s="236" t="str">
        <f ca="1">IF(ISERROR($V12),"",OFFSET('Smelter Look-up'!$E$4,$V12-4,0))</f>
        <v/>
      </c>
      <c r="G12" s="236" t="str">
        <f ca="1">IF(C12=$X$4,"Enter smelter details", IF(ISERROR($V12),"",OFFSET('Smelter Look-up'!$F$4,$V12-4,0)))</f>
        <v/>
      </c>
      <c r="H12" s="237" t="str">
        <f ca="1">IF(ISERROR($V12),"",OFFSET('Smelter Look-up'!$G$4,$V12-4,0))</f>
        <v/>
      </c>
      <c r="I12" s="238" t="str">
        <f ca="1">IF(ISERROR($V12),"",OFFSET('Smelter Look-up'!$H$4,$V12-4,0))</f>
        <v/>
      </c>
      <c r="J12" s="238" t="str">
        <f ca="1">IF(ISERROR($V12),"",OFFSET('Smelter Look-up'!$I$4,$V12-4,0))</f>
        <v/>
      </c>
      <c r="K12" s="240"/>
      <c r="L12" s="240"/>
      <c r="M12" s="240"/>
      <c r="N12" s="240"/>
      <c r="O12" s="240"/>
      <c r="P12" s="239"/>
      <c r="Q12" s="241"/>
      <c r="R12" s="236" t="str">
        <f ca="1">IF(ISERROR($V12),"",OFFSET('Smelter Look-up'!$C$4,$V12-4,0)&amp;"")</f>
        <v/>
      </c>
      <c r="S12" s="250" t="str">
        <f t="shared" ca="1" si="0"/>
        <v/>
      </c>
      <c r="T12" s="250" t="str">
        <f ca="1">IF(B12="","",IF(ISERROR(MATCH($J12,SorP!$B$1:$B$6230,0)),"",INDIRECT("'SorP'!$A$"&amp;MATCH($J12,SorP!$B$1:$B$6230,0))))</f>
        <v/>
      </c>
      <c r="U12" s="280"/>
      <c r="V12" s="281" t="e">
        <f>IF(C12="",NA(),MATCH($B12&amp;$C12,'Smelter Look-up'!$J:$J,0))</f>
        <v>#N/A</v>
      </c>
      <c r="W12" s="282"/>
      <c r="X12" s="282">
        <f t="shared" ca="1" si="1"/>
        <v>0</v>
      </c>
      <c r="Y12" s="282"/>
      <c r="Z12" s="282"/>
      <c r="AB12" s="284" t="str">
        <f t="shared" si="2"/>
        <v/>
      </c>
    </row>
    <row r="13" spans="1:34" s="283" customFormat="1" ht="20.25">
      <c r="A13" s="235"/>
      <c r="B13" s="236" t="str">
        <f>IF(LEN(A13)=0,"",INDEX('Smelter Look-up'!$A:$A,MATCH($A13,'Smelter Look-up'!$E:$E,0)))</f>
        <v/>
      </c>
      <c r="C13" s="242" t="str">
        <f>IF(LEN(A13)=0,"",INDEX('Smelter Look-up'!$C:$C,MATCH($A13,'Smelter Look-up'!$E:$E,0)))</f>
        <v/>
      </c>
      <c r="D13" s="236"/>
      <c r="E13" s="236" t="str">
        <f ca="1">IF(ISERROR($V13),"",OFFSET('Smelter Look-up'!$D$4,$V13-4,0)&amp;"")</f>
        <v/>
      </c>
      <c r="F13" s="236" t="str">
        <f ca="1">IF(ISERROR($V13),"",OFFSET('Smelter Look-up'!$E$4,$V13-4,0))</f>
        <v/>
      </c>
      <c r="G13" s="236" t="str">
        <f ca="1">IF(C13=$X$4,"Enter smelter details", IF(ISERROR($V13),"",OFFSET('Smelter Look-up'!$F$4,$V13-4,0)))</f>
        <v/>
      </c>
      <c r="H13" s="237" t="str">
        <f ca="1">IF(ISERROR($V13),"",OFFSET('Smelter Look-up'!$G$4,$V13-4,0))</f>
        <v/>
      </c>
      <c r="I13" s="238" t="str">
        <f ca="1">IF(ISERROR($V13),"",OFFSET('Smelter Look-up'!$H$4,$V13-4,0))</f>
        <v/>
      </c>
      <c r="J13" s="238" t="str">
        <f ca="1">IF(ISERROR($V13),"",OFFSET('Smelter Look-up'!$I$4,$V13-4,0))</f>
        <v/>
      </c>
      <c r="K13" s="240"/>
      <c r="L13" s="240"/>
      <c r="M13" s="240"/>
      <c r="N13" s="240"/>
      <c r="O13" s="240"/>
      <c r="P13" s="239"/>
      <c r="Q13" s="241"/>
      <c r="R13" s="236" t="str">
        <f ca="1">IF(ISERROR($V13),"",OFFSET('Smelter Look-up'!$C$4,$V13-4,0)&amp;"")</f>
        <v/>
      </c>
      <c r="S13" s="250" t="str">
        <f t="shared" ca="1" si="0"/>
        <v/>
      </c>
      <c r="T13" s="250" t="str">
        <f ca="1">IF(B13="","",IF(ISERROR(MATCH($J13,SorP!$B$1:$B$6230,0)),"",INDIRECT("'SorP'!$A$"&amp;MATCH($J13,SorP!$B$1:$B$6230,0))))</f>
        <v/>
      </c>
      <c r="U13" s="280"/>
      <c r="V13" s="281" t="e">
        <f>IF(C13="",NA(),MATCH($B13&amp;$C13,'Smelter Look-up'!$J:$J,0))</f>
        <v>#N/A</v>
      </c>
      <c r="W13" s="282"/>
      <c r="X13" s="282">
        <f t="shared" ca="1" si="1"/>
        <v>0</v>
      </c>
      <c r="Y13" s="282"/>
      <c r="Z13" s="282"/>
      <c r="AB13" s="284" t="str">
        <f t="shared" si="2"/>
        <v/>
      </c>
    </row>
    <row r="14" spans="1:34" s="283" customFormat="1" ht="20.25">
      <c r="A14" s="235"/>
      <c r="B14" s="236" t="str">
        <f>IF(LEN(A14)=0,"",INDEX('Smelter Look-up'!$A:$A,MATCH($A14,'Smelter Look-up'!$E:$E,0)))</f>
        <v/>
      </c>
      <c r="C14" s="242" t="str">
        <f>IF(LEN(A14)=0,"",INDEX('Smelter Look-up'!$C:$C,MATCH($A14,'Smelter Look-up'!$E:$E,0)))</f>
        <v/>
      </c>
      <c r="D14" s="236"/>
      <c r="E14" s="236" t="str">
        <f ca="1">IF(ISERROR($V14),"",OFFSET('Smelter Look-up'!$D$4,$V14-4,0)&amp;"")</f>
        <v/>
      </c>
      <c r="F14" s="236" t="str">
        <f ca="1">IF(ISERROR($V14),"",OFFSET('Smelter Look-up'!$E$4,$V14-4,0))</f>
        <v/>
      </c>
      <c r="G14" s="236" t="str">
        <f ca="1">IF(C14=$X$4,"Enter smelter details", IF(ISERROR($V14),"",OFFSET('Smelter Look-up'!$F$4,$V14-4,0)))</f>
        <v/>
      </c>
      <c r="H14" s="237" t="str">
        <f ca="1">IF(ISERROR($V14),"",OFFSET('Smelter Look-up'!$G$4,$V14-4,0))</f>
        <v/>
      </c>
      <c r="I14" s="238" t="str">
        <f ca="1">IF(ISERROR($V14),"",OFFSET('Smelter Look-up'!$H$4,$V14-4,0))</f>
        <v/>
      </c>
      <c r="J14" s="238" t="str">
        <f ca="1">IF(ISERROR($V14),"",OFFSET('Smelter Look-up'!$I$4,$V14-4,0))</f>
        <v/>
      </c>
      <c r="K14" s="240"/>
      <c r="L14" s="240"/>
      <c r="M14" s="240"/>
      <c r="N14" s="240"/>
      <c r="O14" s="240"/>
      <c r="P14" s="239"/>
      <c r="Q14" s="241"/>
      <c r="R14" s="236" t="str">
        <f ca="1">IF(ISERROR($V14),"",OFFSET('Smelter Look-up'!$C$4,$V14-4,0)&amp;"")</f>
        <v/>
      </c>
      <c r="S14" s="250" t="str">
        <f t="shared" ca="1" si="0"/>
        <v/>
      </c>
      <c r="T14" s="250" t="str">
        <f ca="1">IF(B14="","",IF(ISERROR(MATCH($J14,SorP!$B$1:$B$6230,0)),"",INDIRECT("'SorP'!$A$"&amp;MATCH($J14,SorP!$B$1:$B$6230,0))))</f>
        <v/>
      </c>
      <c r="U14" s="280"/>
      <c r="V14" s="281" t="e">
        <f>IF(C14="",NA(),MATCH($B14&amp;$C14,'Smelter Look-up'!$J:$J,0))</f>
        <v>#N/A</v>
      </c>
      <c r="W14" s="282"/>
      <c r="X14" s="282">
        <f t="shared" ca="1" si="1"/>
        <v>0</v>
      </c>
      <c r="Y14" s="282"/>
      <c r="Z14" s="282"/>
      <c r="AB14" s="284" t="str">
        <f t="shared" si="2"/>
        <v/>
      </c>
    </row>
    <row r="15" spans="1:34" s="283" customFormat="1" ht="20.25">
      <c r="A15" s="235"/>
      <c r="B15" s="236" t="str">
        <f>IF(LEN(A15)=0,"",INDEX('Smelter Look-up'!$A:$A,MATCH($A15,'Smelter Look-up'!$E:$E,0)))</f>
        <v/>
      </c>
      <c r="C15" s="242" t="str">
        <f>IF(LEN(A15)=0,"",INDEX('Smelter Look-up'!$C:$C,MATCH($A15,'Smelter Look-up'!$E:$E,0)))</f>
        <v/>
      </c>
      <c r="D15" s="236"/>
      <c r="E15" s="236" t="str">
        <f ca="1">IF(ISERROR($V15),"",OFFSET('Smelter Look-up'!$D$4,$V15-4,0)&amp;"")</f>
        <v/>
      </c>
      <c r="F15" s="236" t="str">
        <f ca="1">IF(ISERROR($V15),"",OFFSET('Smelter Look-up'!$E$4,$V15-4,0))</f>
        <v/>
      </c>
      <c r="G15" s="236" t="str">
        <f ca="1">IF(C15=$X$4,"Enter smelter details", IF(ISERROR($V15),"",OFFSET('Smelter Look-up'!$F$4,$V15-4,0)))</f>
        <v/>
      </c>
      <c r="H15" s="237" t="str">
        <f ca="1">IF(ISERROR($V15),"",OFFSET('Smelter Look-up'!$G$4,$V15-4,0))</f>
        <v/>
      </c>
      <c r="I15" s="238" t="str">
        <f ca="1">IF(ISERROR($V15),"",OFFSET('Smelter Look-up'!$H$4,$V15-4,0))</f>
        <v/>
      </c>
      <c r="J15" s="238" t="str">
        <f ca="1">IF(ISERROR($V15),"",OFFSET('Smelter Look-up'!$I$4,$V15-4,0))</f>
        <v/>
      </c>
      <c r="K15" s="240"/>
      <c r="L15" s="240"/>
      <c r="M15" s="240"/>
      <c r="N15" s="240"/>
      <c r="O15" s="240"/>
      <c r="P15" s="239"/>
      <c r="Q15" s="241"/>
      <c r="R15" s="236" t="str">
        <f ca="1">IF(ISERROR($V15),"",OFFSET('Smelter Look-up'!$C$4,$V15-4,0)&amp;"")</f>
        <v/>
      </c>
      <c r="S15" s="250" t="str">
        <f t="shared" ca="1" si="0"/>
        <v/>
      </c>
      <c r="T15" s="250" t="str">
        <f ca="1">IF(B15="","",IF(ISERROR(MATCH($J15,SorP!$B$1:$B$6230,0)),"",INDIRECT("'SorP'!$A$"&amp;MATCH($J15,SorP!$B$1:$B$6230,0))))</f>
        <v/>
      </c>
      <c r="U15" s="280"/>
      <c r="V15" s="281" t="e">
        <f>IF(C15="",NA(),MATCH($B15&amp;$C15,'Smelter Look-up'!$J:$J,0))</f>
        <v>#N/A</v>
      </c>
      <c r="W15" s="282"/>
      <c r="X15" s="282">
        <f t="shared" ca="1" si="1"/>
        <v>0</v>
      </c>
      <c r="Y15" s="282"/>
      <c r="Z15" s="282"/>
      <c r="AB15" s="284" t="str">
        <f t="shared" si="2"/>
        <v/>
      </c>
    </row>
    <row r="16" spans="1:34" s="283" customFormat="1" ht="20.25">
      <c r="A16" s="235"/>
      <c r="B16" s="236" t="str">
        <f>IF(LEN(A16)=0,"",INDEX('Smelter Look-up'!$A:$A,MATCH($A16,'Smelter Look-up'!$E:$E,0)))</f>
        <v/>
      </c>
      <c r="C16" s="242" t="str">
        <f>IF(LEN(A16)=0,"",INDEX('Smelter Look-up'!$C:$C,MATCH($A16,'Smelter Look-up'!$E:$E,0)))</f>
        <v/>
      </c>
      <c r="D16" s="236"/>
      <c r="E16" s="236" t="str">
        <f ca="1">IF(ISERROR($V16),"",OFFSET('Smelter Look-up'!$D$4,$V16-4,0)&amp;"")</f>
        <v/>
      </c>
      <c r="F16" s="236" t="str">
        <f ca="1">IF(ISERROR($V16),"",OFFSET('Smelter Look-up'!$E$4,$V16-4,0))</f>
        <v/>
      </c>
      <c r="G16" s="236" t="str">
        <f ca="1">IF(C16=$X$4,"Enter smelter details", IF(ISERROR($V16),"",OFFSET('Smelter Look-up'!$F$4,$V16-4,0)))</f>
        <v/>
      </c>
      <c r="H16" s="237" t="str">
        <f ca="1">IF(ISERROR($V16),"",OFFSET('Smelter Look-up'!$G$4,$V16-4,0))</f>
        <v/>
      </c>
      <c r="I16" s="238" t="str">
        <f ca="1">IF(ISERROR($V16),"",OFFSET('Smelter Look-up'!$H$4,$V16-4,0))</f>
        <v/>
      </c>
      <c r="J16" s="238" t="str">
        <f ca="1">IF(ISERROR($V16),"",OFFSET('Smelter Look-up'!$I$4,$V16-4,0))</f>
        <v/>
      </c>
      <c r="K16" s="240"/>
      <c r="L16" s="240"/>
      <c r="M16" s="240"/>
      <c r="N16" s="240"/>
      <c r="O16" s="240"/>
      <c r="P16" s="239"/>
      <c r="Q16" s="241"/>
      <c r="R16" s="236" t="str">
        <f ca="1">IF(ISERROR($V16),"",OFFSET('Smelter Look-up'!$C$4,$V16-4,0)&amp;"")</f>
        <v/>
      </c>
      <c r="S16" s="250" t="str">
        <f t="shared" ca="1" si="0"/>
        <v/>
      </c>
      <c r="T16" s="250" t="str">
        <f ca="1">IF(B16="","",IF(ISERROR(MATCH($J16,SorP!$B$1:$B$6230,0)),"",INDIRECT("'SorP'!$A$"&amp;MATCH($J16,SorP!$B$1:$B$6230,0))))</f>
        <v/>
      </c>
      <c r="U16" s="280"/>
      <c r="V16" s="281" t="e">
        <f>IF(C16="",NA(),MATCH($B16&amp;$C16,'Smelter Look-up'!$J:$J,0))</f>
        <v>#N/A</v>
      </c>
      <c r="W16" s="282"/>
      <c r="X16" s="282">
        <f t="shared" ca="1" si="1"/>
        <v>0</v>
      </c>
      <c r="Y16" s="282"/>
      <c r="Z16" s="282"/>
      <c r="AB16" s="284" t="str">
        <f t="shared" si="2"/>
        <v/>
      </c>
    </row>
    <row r="17" spans="1:28" s="283" customFormat="1" ht="20.25">
      <c r="A17" s="235"/>
      <c r="B17" s="236" t="str">
        <f>IF(LEN(A17)=0,"",INDEX('Smelter Look-up'!$A:$A,MATCH($A17,'Smelter Look-up'!$E:$E,0)))</f>
        <v/>
      </c>
      <c r="C17" s="242" t="str">
        <f>IF(LEN(A17)=0,"",INDEX('Smelter Look-up'!$C:$C,MATCH($A17,'Smelter Look-up'!$E:$E,0)))</f>
        <v/>
      </c>
      <c r="D17" s="236"/>
      <c r="E17" s="236" t="str">
        <f ca="1">IF(ISERROR($V17),"",OFFSET('Smelter Look-up'!$D$4,$V17-4,0)&amp;"")</f>
        <v/>
      </c>
      <c r="F17" s="236" t="str">
        <f ca="1">IF(ISERROR($V17),"",OFFSET('Smelter Look-up'!$E$4,$V17-4,0))</f>
        <v/>
      </c>
      <c r="G17" s="236" t="str">
        <f ca="1">IF(C17=$X$4,"Enter smelter details", IF(ISERROR($V17),"",OFFSET('Smelter Look-up'!$F$4,$V17-4,0)))</f>
        <v/>
      </c>
      <c r="H17" s="237" t="str">
        <f ca="1">IF(ISERROR($V17),"",OFFSET('Smelter Look-up'!$G$4,$V17-4,0))</f>
        <v/>
      </c>
      <c r="I17" s="238" t="str">
        <f ca="1">IF(ISERROR($V17),"",OFFSET('Smelter Look-up'!$H$4,$V17-4,0))</f>
        <v/>
      </c>
      <c r="J17" s="238" t="str">
        <f ca="1">IF(ISERROR($V17),"",OFFSET('Smelter Look-up'!$I$4,$V17-4,0))</f>
        <v/>
      </c>
      <c r="K17" s="240"/>
      <c r="L17" s="240"/>
      <c r="M17" s="240"/>
      <c r="N17" s="240"/>
      <c r="O17" s="240"/>
      <c r="P17" s="239"/>
      <c r="Q17" s="241"/>
      <c r="R17" s="236" t="str">
        <f ca="1">IF(ISERROR($V17),"",OFFSET('Smelter Look-up'!$C$4,$V17-4,0)&amp;"")</f>
        <v/>
      </c>
      <c r="S17" s="250" t="str">
        <f t="shared" ca="1" si="0"/>
        <v/>
      </c>
      <c r="T17" s="250" t="str">
        <f ca="1">IF(B17="","",IF(ISERROR(MATCH($J17,SorP!$B$1:$B$6230,0)),"",INDIRECT("'SorP'!$A$"&amp;MATCH($J17,SorP!$B$1:$B$6230,0))))</f>
        <v/>
      </c>
      <c r="U17" s="280"/>
      <c r="V17" s="281" t="e">
        <f>IF(C17="",NA(),MATCH($B17&amp;$C17,'Smelter Look-up'!$J:$J,0))</f>
        <v>#N/A</v>
      </c>
      <c r="W17" s="282"/>
      <c r="X17" s="282">
        <f t="shared" ca="1" si="1"/>
        <v>0</v>
      </c>
      <c r="Y17" s="282"/>
      <c r="Z17" s="282"/>
      <c r="AB17" s="284" t="str">
        <f t="shared" si="2"/>
        <v/>
      </c>
    </row>
    <row r="18" spans="1:28" s="283" customFormat="1" ht="20.25">
      <c r="A18" s="235"/>
      <c r="B18" s="236" t="str">
        <f>IF(LEN(A18)=0,"",INDEX('Smelter Look-up'!$A:$A,MATCH($A18,'Smelter Look-up'!$E:$E,0)))</f>
        <v/>
      </c>
      <c r="C18" s="242" t="str">
        <f>IF(LEN(A18)=0,"",INDEX('Smelter Look-up'!$C:$C,MATCH($A18,'Smelter Look-up'!$E:$E,0)))</f>
        <v/>
      </c>
      <c r="D18" s="236"/>
      <c r="E18" s="236" t="str">
        <f ca="1">IF(ISERROR($V18),"",OFFSET('Smelter Look-up'!$D$4,$V18-4,0)&amp;"")</f>
        <v/>
      </c>
      <c r="F18" s="236" t="str">
        <f ca="1">IF(ISERROR($V18),"",OFFSET('Smelter Look-up'!$E$4,$V18-4,0))</f>
        <v/>
      </c>
      <c r="G18" s="236" t="str">
        <f ca="1">IF(C18=$X$4,"Enter smelter details", IF(ISERROR($V18),"",OFFSET('Smelter Look-up'!$F$4,$V18-4,0)))</f>
        <v/>
      </c>
      <c r="H18" s="237" t="str">
        <f ca="1">IF(ISERROR($V18),"",OFFSET('Smelter Look-up'!$G$4,$V18-4,0))</f>
        <v/>
      </c>
      <c r="I18" s="238" t="str">
        <f ca="1">IF(ISERROR($V18),"",OFFSET('Smelter Look-up'!$H$4,$V18-4,0))</f>
        <v/>
      </c>
      <c r="J18" s="238" t="str">
        <f ca="1">IF(ISERROR($V18),"",OFFSET('Smelter Look-up'!$I$4,$V18-4,0))</f>
        <v/>
      </c>
      <c r="K18" s="240"/>
      <c r="L18" s="240"/>
      <c r="M18" s="240"/>
      <c r="N18" s="240"/>
      <c r="O18" s="240"/>
      <c r="P18" s="239"/>
      <c r="Q18" s="241"/>
      <c r="R18" s="236" t="str">
        <f ca="1">IF(ISERROR($V18),"",OFFSET('Smelter Look-up'!$C$4,$V18-4,0)&amp;"")</f>
        <v/>
      </c>
      <c r="S18" s="250" t="str">
        <f t="shared" ca="1" si="0"/>
        <v/>
      </c>
      <c r="T18" s="250" t="str">
        <f ca="1">IF(B18="","",IF(ISERROR(MATCH($J18,SorP!$B$1:$B$6230,0)),"",INDIRECT("'SorP'!$A$"&amp;MATCH($J18,SorP!$B$1:$B$6230,0))))</f>
        <v/>
      </c>
      <c r="U18" s="280"/>
      <c r="V18" s="281" t="e">
        <f>IF(C18="",NA(),MATCH($B18&amp;$C18,'Smelter Look-up'!$J:$J,0))</f>
        <v>#N/A</v>
      </c>
      <c r="W18" s="282"/>
      <c r="X18" s="282">
        <f t="shared" ca="1" si="1"/>
        <v>0</v>
      </c>
      <c r="Y18" s="282"/>
      <c r="Z18" s="282"/>
      <c r="AB18" s="284" t="str">
        <f t="shared" si="2"/>
        <v/>
      </c>
    </row>
    <row r="19" spans="1:28" s="283" customFormat="1" ht="20.25">
      <c r="A19" s="235"/>
      <c r="B19" s="236" t="str">
        <f>IF(LEN(A19)=0,"",INDEX('Smelter Look-up'!$A:$A,MATCH($A19,'Smelter Look-up'!$E:$E,0)))</f>
        <v/>
      </c>
      <c r="C19" s="242" t="str">
        <f>IF(LEN(A19)=0,"",INDEX('Smelter Look-up'!$C:$C,MATCH($A19,'Smelter Look-up'!$E:$E,0)))</f>
        <v/>
      </c>
      <c r="D19" s="236"/>
      <c r="E19" s="236" t="str">
        <f ca="1">IF(ISERROR($V19),"",OFFSET('Smelter Look-up'!$D$4,$V19-4,0)&amp;"")</f>
        <v/>
      </c>
      <c r="F19" s="236" t="str">
        <f ca="1">IF(ISERROR($V19),"",OFFSET('Smelter Look-up'!$E$4,$V19-4,0))</f>
        <v/>
      </c>
      <c r="G19" s="236" t="str">
        <f ca="1">IF(C19=$X$4,"Enter smelter details", IF(ISERROR($V19),"",OFFSET('Smelter Look-up'!$F$4,$V19-4,0)))</f>
        <v/>
      </c>
      <c r="H19" s="237" t="str">
        <f ca="1">IF(ISERROR($V19),"",OFFSET('Smelter Look-up'!$G$4,$V19-4,0))</f>
        <v/>
      </c>
      <c r="I19" s="238" t="str">
        <f ca="1">IF(ISERROR($V19),"",OFFSET('Smelter Look-up'!$H$4,$V19-4,0))</f>
        <v/>
      </c>
      <c r="J19" s="238" t="str">
        <f ca="1">IF(ISERROR($V19),"",OFFSET('Smelter Look-up'!$I$4,$V19-4,0))</f>
        <v/>
      </c>
      <c r="K19" s="240"/>
      <c r="L19" s="240"/>
      <c r="M19" s="240"/>
      <c r="N19" s="240"/>
      <c r="O19" s="240"/>
      <c r="P19" s="239"/>
      <c r="Q19" s="241"/>
      <c r="R19" s="236" t="str">
        <f ca="1">IF(ISERROR($V19),"",OFFSET('Smelter Look-up'!$C$4,$V19-4,0)&amp;"")</f>
        <v/>
      </c>
      <c r="S19" s="250" t="str">
        <f t="shared" ca="1" si="0"/>
        <v/>
      </c>
      <c r="T19" s="250" t="str">
        <f ca="1">IF(B19="","",IF(ISERROR(MATCH($J19,SorP!$B$1:$B$6230,0)),"",INDIRECT("'SorP'!$A$"&amp;MATCH($J19,SorP!$B$1:$B$6230,0))))</f>
        <v/>
      </c>
      <c r="U19" s="280"/>
      <c r="V19" s="281" t="e">
        <f>IF(C19="",NA(),MATCH($B19&amp;$C19,'Smelter Look-up'!$J:$J,0))</f>
        <v>#N/A</v>
      </c>
      <c r="W19" s="282"/>
      <c r="X19" s="282">
        <f t="shared" ca="1" si="1"/>
        <v>0</v>
      </c>
      <c r="Y19" s="282"/>
      <c r="Z19" s="282"/>
      <c r="AB19" s="284" t="str">
        <f t="shared" si="2"/>
        <v/>
      </c>
    </row>
    <row r="20" spans="1:28" s="283" customFormat="1" ht="20.25">
      <c r="A20" s="235"/>
      <c r="B20" s="236" t="str">
        <f>IF(LEN(A20)=0,"",INDEX('Smelter Look-up'!$A:$A,MATCH($A20,'Smelter Look-up'!$E:$E,0)))</f>
        <v/>
      </c>
      <c r="C20" s="242" t="str">
        <f>IF(LEN(A20)=0,"",INDEX('Smelter Look-up'!$C:$C,MATCH($A20,'Smelter Look-up'!$E:$E,0)))</f>
        <v/>
      </c>
      <c r="D20" s="236"/>
      <c r="E20" s="236" t="str">
        <f ca="1">IF(ISERROR($V20),"",OFFSET('Smelter Look-up'!$D$4,$V20-4,0)&amp;"")</f>
        <v/>
      </c>
      <c r="F20" s="236" t="str">
        <f ca="1">IF(ISERROR($V20),"",OFFSET('Smelter Look-up'!$E$4,$V20-4,0))</f>
        <v/>
      </c>
      <c r="G20" s="236" t="str">
        <f ca="1">IF(C20=$X$4,"Enter smelter details", IF(ISERROR($V20),"",OFFSET('Smelter Look-up'!$F$4,$V20-4,0)))</f>
        <v/>
      </c>
      <c r="H20" s="237" t="str">
        <f ca="1">IF(ISERROR($V20),"",OFFSET('Smelter Look-up'!$G$4,$V20-4,0))</f>
        <v/>
      </c>
      <c r="I20" s="238" t="str">
        <f ca="1">IF(ISERROR($V20),"",OFFSET('Smelter Look-up'!$H$4,$V20-4,0))</f>
        <v/>
      </c>
      <c r="J20" s="238" t="str">
        <f ca="1">IF(ISERROR($V20),"",OFFSET('Smelter Look-up'!$I$4,$V20-4,0))</f>
        <v/>
      </c>
      <c r="K20" s="240"/>
      <c r="L20" s="240"/>
      <c r="M20" s="240"/>
      <c r="N20" s="240"/>
      <c r="O20" s="240"/>
      <c r="P20" s="239"/>
      <c r="Q20" s="241"/>
      <c r="R20" s="236" t="str">
        <f ca="1">IF(ISERROR($V20),"",OFFSET('Smelter Look-up'!$C$4,$V20-4,0)&amp;"")</f>
        <v/>
      </c>
      <c r="S20" s="250" t="str">
        <f t="shared" ca="1" si="0"/>
        <v/>
      </c>
      <c r="T20" s="250" t="str">
        <f ca="1">IF(B20="","",IF(ISERROR(MATCH($J20,SorP!$B$1:$B$6230,0)),"",INDIRECT("'SorP'!$A$"&amp;MATCH($J20,SorP!$B$1:$B$6230,0))))</f>
        <v/>
      </c>
      <c r="U20" s="280"/>
      <c r="V20" s="281" t="e">
        <f>IF(C20="",NA(),MATCH($B20&amp;$C20,'Smelter Look-up'!$J:$J,0))</f>
        <v>#N/A</v>
      </c>
      <c r="W20" s="282"/>
      <c r="X20" s="282">
        <f t="shared" ca="1" si="1"/>
        <v>0</v>
      </c>
      <c r="Y20" s="282"/>
      <c r="Z20" s="282"/>
      <c r="AB20" s="284" t="str">
        <f t="shared" si="2"/>
        <v/>
      </c>
    </row>
    <row r="21" spans="1:28" s="283" customFormat="1" ht="20.25">
      <c r="A21" s="235"/>
      <c r="B21" s="236" t="str">
        <f>IF(LEN(A21)=0,"",INDEX('Smelter Look-up'!$A:$A,MATCH($A21,'Smelter Look-up'!$E:$E,0)))</f>
        <v/>
      </c>
      <c r="C21" s="242" t="str">
        <f>IF(LEN(A21)=0,"",INDEX('Smelter Look-up'!$C:$C,MATCH($A21,'Smelter Look-up'!$E:$E,0)))</f>
        <v/>
      </c>
      <c r="D21" s="236"/>
      <c r="E21" s="236" t="str">
        <f ca="1">IF(ISERROR($V21),"",OFFSET('Smelter Look-up'!$D$4,$V21-4,0)&amp;"")</f>
        <v/>
      </c>
      <c r="F21" s="236" t="str">
        <f ca="1">IF(ISERROR($V21),"",OFFSET('Smelter Look-up'!$E$4,$V21-4,0))</f>
        <v/>
      </c>
      <c r="G21" s="236" t="str">
        <f ca="1">IF(C21=$X$4,"Enter smelter details", IF(ISERROR($V21),"",OFFSET('Smelter Look-up'!$F$4,$V21-4,0)))</f>
        <v/>
      </c>
      <c r="H21" s="237" t="str">
        <f ca="1">IF(ISERROR($V21),"",OFFSET('Smelter Look-up'!$G$4,$V21-4,0))</f>
        <v/>
      </c>
      <c r="I21" s="238" t="str">
        <f ca="1">IF(ISERROR($V21),"",OFFSET('Smelter Look-up'!$H$4,$V21-4,0))</f>
        <v/>
      </c>
      <c r="J21" s="238" t="str">
        <f ca="1">IF(ISERROR($V21),"",OFFSET('Smelter Look-up'!$I$4,$V21-4,0))</f>
        <v/>
      </c>
      <c r="K21" s="240"/>
      <c r="L21" s="240"/>
      <c r="M21" s="240"/>
      <c r="N21" s="240"/>
      <c r="O21" s="240"/>
      <c r="P21" s="239"/>
      <c r="Q21" s="241"/>
      <c r="R21" s="236" t="str">
        <f ca="1">IF(ISERROR($V21),"",OFFSET('Smelter Look-up'!$C$4,$V21-4,0)&amp;"")</f>
        <v/>
      </c>
      <c r="S21" s="250" t="str">
        <f t="shared" ca="1" si="0"/>
        <v/>
      </c>
      <c r="T21" s="250" t="str">
        <f ca="1">IF(B21="","",IF(ISERROR(MATCH($J21,SorP!$B$1:$B$6230,0)),"",INDIRECT("'SorP'!$A$"&amp;MATCH($J21,SorP!$B$1:$B$6230,0))))</f>
        <v/>
      </c>
      <c r="U21" s="280"/>
      <c r="V21" s="281" t="e">
        <f>IF(C21="",NA(),MATCH($B21&amp;$C21,'Smelter Look-up'!$J:$J,0))</f>
        <v>#N/A</v>
      </c>
      <c r="W21" s="282"/>
      <c r="X21" s="282">
        <f t="shared" ca="1" si="1"/>
        <v>0</v>
      </c>
      <c r="Y21" s="282"/>
      <c r="Z21" s="282"/>
      <c r="AB21" s="284" t="str">
        <f t="shared" si="2"/>
        <v/>
      </c>
    </row>
    <row r="22" spans="1:28" s="283" customFormat="1" ht="20.25">
      <c r="A22" s="235"/>
      <c r="B22" s="236" t="str">
        <f>IF(LEN(A22)=0,"",INDEX('Smelter Look-up'!$A:$A,MATCH($A22,'Smelter Look-up'!$E:$E,0)))</f>
        <v/>
      </c>
      <c r="C22" s="242" t="str">
        <f>IF(LEN(A22)=0,"",INDEX('Smelter Look-up'!$C:$C,MATCH($A22,'Smelter Look-up'!$E:$E,0)))</f>
        <v/>
      </c>
      <c r="D22" s="236"/>
      <c r="E22" s="236" t="str">
        <f ca="1">IF(ISERROR($V22),"",OFFSET('Smelter Look-up'!$D$4,$V22-4,0)&amp;"")</f>
        <v/>
      </c>
      <c r="F22" s="236" t="str">
        <f ca="1">IF(ISERROR($V22),"",OFFSET('Smelter Look-up'!$E$4,$V22-4,0))</f>
        <v/>
      </c>
      <c r="G22" s="236" t="str">
        <f ca="1">IF(C22=$X$4,"Enter smelter details", IF(ISERROR($V22),"",OFFSET('Smelter Look-up'!$F$4,$V22-4,0)))</f>
        <v/>
      </c>
      <c r="H22" s="237" t="str">
        <f ca="1">IF(ISERROR($V22),"",OFFSET('Smelter Look-up'!$G$4,$V22-4,0))</f>
        <v/>
      </c>
      <c r="I22" s="238" t="str">
        <f ca="1">IF(ISERROR($V22),"",OFFSET('Smelter Look-up'!$H$4,$V22-4,0))</f>
        <v/>
      </c>
      <c r="J22" s="238" t="str">
        <f ca="1">IF(ISERROR($V22),"",OFFSET('Smelter Look-up'!$I$4,$V22-4,0))</f>
        <v/>
      </c>
      <c r="K22" s="240"/>
      <c r="L22" s="240"/>
      <c r="M22" s="240"/>
      <c r="N22" s="240"/>
      <c r="O22" s="240"/>
      <c r="P22" s="239"/>
      <c r="Q22" s="241"/>
      <c r="R22" s="236" t="str">
        <f ca="1">IF(ISERROR($V22),"",OFFSET('Smelter Look-up'!$C$4,$V22-4,0)&amp;"")</f>
        <v/>
      </c>
      <c r="S22" s="250" t="str">
        <f t="shared" ca="1" si="0"/>
        <v/>
      </c>
      <c r="T22" s="250" t="str">
        <f ca="1">IF(B22="","",IF(ISERROR(MATCH($J22,SorP!$B$1:$B$6230,0)),"",INDIRECT("'SorP'!$A$"&amp;MATCH($J22,SorP!$B$1:$B$6230,0))))</f>
        <v/>
      </c>
      <c r="U22" s="280"/>
      <c r="V22" s="281" t="e">
        <f>IF(C22="",NA(),MATCH($B22&amp;$C22,'Smelter Look-up'!$J:$J,0))</f>
        <v>#N/A</v>
      </c>
      <c r="W22" s="282"/>
      <c r="X22" s="282">
        <f t="shared" ca="1" si="1"/>
        <v>0</v>
      </c>
      <c r="Y22" s="282"/>
      <c r="Z22" s="282"/>
      <c r="AB22" s="284" t="str">
        <f t="shared" si="2"/>
        <v/>
      </c>
    </row>
    <row r="23" spans="1:28" s="283" customFormat="1" ht="20.25">
      <c r="A23" s="235"/>
      <c r="B23" s="236" t="str">
        <f>IF(LEN(A23)=0,"",INDEX('Smelter Look-up'!$A:$A,MATCH($A23,'Smelter Look-up'!$E:$E,0)))</f>
        <v/>
      </c>
      <c r="C23" s="242" t="str">
        <f>IF(LEN(A23)=0,"",INDEX('Smelter Look-up'!$C:$C,MATCH($A23,'Smelter Look-up'!$E:$E,0)))</f>
        <v/>
      </c>
      <c r="D23" s="236"/>
      <c r="E23" s="236" t="str">
        <f ca="1">IF(ISERROR($V23),"",OFFSET('Smelter Look-up'!$D$4,$V23-4,0)&amp;"")</f>
        <v/>
      </c>
      <c r="F23" s="236" t="str">
        <f ca="1">IF(ISERROR($V23),"",OFFSET('Smelter Look-up'!$E$4,$V23-4,0))</f>
        <v/>
      </c>
      <c r="G23" s="236" t="str">
        <f ca="1">IF(C23=$X$4,"Enter smelter details", IF(ISERROR($V23),"",OFFSET('Smelter Look-up'!$F$4,$V23-4,0)))</f>
        <v/>
      </c>
      <c r="H23" s="237" t="str">
        <f ca="1">IF(ISERROR($V23),"",OFFSET('Smelter Look-up'!$G$4,$V23-4,0))</f>
        <v/>
      </c>
      <c r="I23" s="238" t="str">
        <f ca="1">IF(ISERROR($V23),"",OFFSET('Smelter Look-up'!$H$4,$V23-4,0))</f>
        <v/>
      </c>
      <c r="J23" s="238" t="str">
        <f ca="1">IF(ISERROR($V23),"",OFFSET('Smelter Look-up'!$I$4,$V23-4,0))</f>
        <v/>
      </c>
      <c r="K23" s="240"/>
      <c r="L23" s="240"/>
      <c r="M23" s="240"/>
      <c r="N23" s="240"/>
      <c r="O23" s="240"/>
      <c r="P23" s="239"/>
      <c r="Q23" s="241"/>
      <c r="R23" s="236" t="str">
        <f ca="1">IF(ISERROR($V23),"",OFFSET('Smelter Look-up'!$C$4,$V23-4,0)&amp;"")</f>
        <v/>
      </c>
      <c r="S23" s="250" t="str">
        <f t="shared" ca="1" si="0"/>
        <v/>
      </c>
      <c r="T23" s="250" t="str">
        <f ca="1">IF(B23="","",IF(ISERROR(MATCH($J23,SorP!$B$1:$B$6230,0)),"",INDIRECT("'SorP'!$A$"&amp;MATCH($J23,SorP!$B$1:$B$6230,0))))</f>
        <v/>
      </c>
      <c r="U23" s="280"/>
      <c r="V23" s="281" t="e">
        <f>IF(C23="",NA(),MATCH($B23&amp;$C23,'Smelter Look-up'!$J:$J,0))</f>
        <v>#N/A</v>
      </c>
      <c r="W23" s="282"/>
      <c r="X23" s="282">
        <f t="shared" ca="1" si="1"/>
        <v>0</v>
      </c>
      <c r="Y23" s="282"/>
      <c r="Z23" s="282"/>
      <c r="AB23" s="284" t="str">
        <f t="shared" si="2"/>
        <v/>
      </c>
    </row>
    <row r="24" spans="1:28" s="283" customFormat="1" ht="20.25">
      <c r="A24" s="235"/>
      <c r="B24" s="236" t="str">
        <f>IF(LEN(A24)=0,"",INDEX('Smelter Look-up'!$A:$A,MATCH($A24,'Smelter Look-up'!$E:$E,0)))</f>
        <v/>
      </c>
      <c r="C24" s="242" t="str">
        <f>IF(LEN(A24)=0,"",INDEX('Smelter Look-up'!$C:$C,MATCH($A24,'Smelter Look-up'!$E:$E,0)))</f>
        <v/>
      </c>
      <c r="D24" s="236"/>
      <c r="E24" s="236" t="str">
        <f ca="1">IF(ISERROR($V24),"",OFFSET('Smelter Look-up'!$D$4,$V24-4,0)&amp;"")</f>
        <v/>
      </c>
      <c r="F24" s="236" t="str">
        <f ca="1">IF(ISERROR($V24),"",OFFSET('Smelter Look-up'!$E$4,$V24-4,0))</f>
        <v/>
      </c>
      <c r="G24" s="236" t="str">
        <f ca="1">IF(C24=$X$4,"Enter smelter details", IF(ISERROR($V24),"",OFFSET('Smelter Look-up'!$F$4,$V24-4,0)))</f>
        <v/>
      </c>
      <c r="H24" s="237" t="str">
        <f ca="1">IF(ISERROR($V24),"",OFFSET('Smelter Look-up'!$G$4,$V24-4,0))</f>
        <v/>
      </c>
      <c r="I24" s="238" t="str">
        <f ca="1">IF(ISERROR($V24),"",OFFSET('Smelter Look-up'!$H$4,$V24-4,0))</f>
        <v/>
      </c>
      <c r="J24" s="238" t="str">
        <f ca="1">IF(ISERROR($V24),"",OFFSET('Smelter Look-up'!$I$4,$V24-4,0))</f>
        <v/>
      </c>
      <c r="K24" s="240"/>
      <c r="L24" s="240"/>
      <c r="M24" s="240"/>
      <c r="N24" s="240"/>
      <c r="O24" s="240"/>
      <c r="P24" s="239"/>
      <c r="Q24" s="241"/>
      <c r="R24" s="236" t="str">
        <f ca="1">IF(ISERROR($V24),"",OFFSET('Smelter Look-up'!$C$4,$V24-4,0)&amp;"")</f>
        <v/>
      </c>
      <c r="S24" s="250" t="str">
        <f t="shared" ca="1" si="0"/>
        <v/>
      </c>
      <c r="T24" s="250" t="str">
        <f ca="1">IF(B24="","",IF(ISERROR(MATCH($J24,SorP!$B$1:$B$6230,0)),"",INDIRECT("'SorP'!$A$"&amp;MATCH($J24,SorP!$B$1:$B$6230,0))))</f>
        <v/>
      </c>
      <c r="U24" s="280"/>
      <c r="V24" s="281" t="e">
        <f>IF(C24="",NA(),MATCH($B24&amp;$C24,'Smelter Look-up'!$J:$J,0))</f>
        <v>#N/A</v>
      </c>
      <c r="W24" s="282"/>
      <c r="X24" s="282">
        <f t="shared" ca="1" si="1"/>
        <v>0</v>
      </c>
      <c r="Y24" s="282"/>
      <c r="Z24" s="282"/>
      <c r="AB24" s="284" t="str">
        <f t="shared" si="2"/>
        <v/>
      </c>
    </row>
    <row r="25" spans="1:28" s="283" customFormat="1" ht="20.25">
      <c r="A25" s="235"/>
      <c r="B25" s="236" t="str">
        <f>IF(LEN(A25)=0,"",INDEX('Smelter Look-up'!$A:$A,MATCH($A25,'Smelter Look-up'!$E:$E,0)))</f>
        <v/>
      </c>
      <c r="C25" s="242" t="str">
        <f>IF(LEN(A25)=0,"",INDEX('Smelter Look-up'!$C:$C,MATCH($A25,'Smelter Look-up'!$E:$E,0)))</f>
        <v/>
      </c>
      <c r="D25" s="236"/>
      <c r="E25" s="236" t="str">
        <f ca="1">IF(ISERROR($V25),"",OFFSET('Smelter Look-up'!$D$4,$V25-4,0)&amp;"")</f>
        <v/>
      </c>
      <c r="F25" s="236" t="str">
        <f ca="1">IF(ISERROR($V25),"",OFFSET('Smelter Look-up'!$E$4,$V25-4,0))</f>
        <v/>
      </c>
      <c r="G25" s="236" t="str">
        <f ca="1">IF(C25=$X$4,"Enter smelter details", IF(ISERROR($V25),"",OFFSET('Smelter Look-up'!$F$4,$V25-4,0)))</f>
        <v/>
      </c>
      <c r="H25" s="237" t="str">
        <f ca="1">IF(ISERROR($V25),"",OFFSET('Smelter Look-up'!$G$4,$V25-4,0))</f>
        <v/>
      </c>
      <c r="I25" s="238" t="str">
        <f ca="1">IF(ISERROR($V25),"",OFFSET('Smelter Look-up'!$H$4,$V25-4,0))</f>
        <v/>
      </c>
      <c r="J25" s="238" t="str">
        <f ca="1">IF(ISERROR($V25),"",OFFSET('Smelter Look-up'!$I$4,$V25-4,0))</f>
        <v/>
      </c>
      <c r="K25" s="240"/>
      <c r="L25" s="240"/>
      <c r="M25" s="240"/>
      <c r="N25" s="240"/>
      <c r="O25" s="240"/>
      <c r="P25" s="239"/>
      <c r="Q25" s="241"/>
      <c r="R25" s="236" t="str">
        <f ca="1">IF(ISERROR($V25),"",OFFSET('Smelter Look-up'!$C$4,$V25-4,0)&amp;"")</f>
        <v/>
      </c>
      <c r="S25" s="250" t="str">
        <f t="shared" ca="1" si="0"/>
        <v/>
      </c>
      <c r="T25" s="250" t="str">
        <f ca="1">IF(B25="","",IF(ISERROR(MATCH($J25,SorP!$B$1:$B$6230,0)),"",INDIRECT("'SorP'!$A$"&amp;MATCH($J25,SorP!$B$1:$B$6230,0))))</f>
        <v/>
      </c>
      <c r="U25" s="280"/>
      <c r="V25" s="281" t="e">
        <f>IF(C25="",NA(),MATCH($B25&amp;$C25,'Smelter Look-up'!$J:$J,0))</f>
        <v>#N/A</v>
      </c>
      <c r="W25" s="282"/>
      <c r="X25" s="282">
        <f t="shared" ca="1" si="1"/>
        <v>0</v>
      </c>
      <c r="Y25" s="282"/>
      <c r="Z25" s="282"/>
      <c r="AB25" s="284" t="str">
        <f t="shared" si="2"/>
        <v/>
      </c>
    </row>
    <row r="26" spans="1:28" s="283" customFormat="1" ht="20.25">
      <c r="A26" s="235"/>
      <c r="B26" s="236" t="str">
        <f>IF(LEN(A26)=0,"",INDEX('Smelter Look-up'!$A:$A,MATCH($A26,'Smelter Look-up'!$E:$E,0)))</f>
        <v/>
      </c>
      <c r="C26" s="242" t="str">
        <f>IF(LEN(A26)=0,"",INDEX('Smelter Look-up'!$C:$C,MATCH($A26,'Smelter Look-up'!$E:$E,0)))</f>
        <v/>
      </c>
      <c r="D26" s="236"/>
      <c r="E26" s="236" t="str">
        <f ca="1">IF(ISERROR($V26),"",OFFSET('Smelter Look-up'!$D$4,$V26-4,0)&amp;"")</f>
        <v/>
      </c>
      <c r="F26" s="236" t="str">
        <f ca="1">IF(ISERROR($V26),"",OFFSET('Smelter Look-up'!$E$4,$V26-4,0))</f>
        <v/>
      </c>
      <c r="G26" s="236" t="str">
        <f ca="1">IF(C26=$X$4,"Enter smelter details", IF(ISERROR($V26),"",OFFSET('Smelter Look-up'!$F$4,$V26-4,0)))</f>
        <v/>
      </c>
      <c r="H26" s="237" t="str">
        <f ca="1">IF(ISERROR($V26),"",OFFSET('Smelter Look-up'!$G$4,$V26-4,0))</f>
        <v/>
      </c>
      <c r="I26" s="238" t="str">
        <f ca="1">IF(ISERROR($V26),"",OFFSET('Smelter Look-up'!$H$4,$V26-4,0))</f>
        <v/>
      </c>
      <c r="J26" s="238" t="str">
        <f ca="1">IF(ISERROR($V26),"",OFFSET('Smelter Look-up'!$I$4,$V26-4,0))</f>
        <v/>
      </c>
      <c r="K26" s="240"/>
      <c r="L26" s="240"/>
      <c r="M26" s="240"/>
      <c r="N26" s="240"/>
      <c r="O26" s="240"/>
      <c r="P26" s="239"/>
      <c r="Q26" s="241"/>
      <c r="R26" s="236" t="str">
        <f ca="1">IF(ISERROR($V26),"",OFFSET('Smelter Look-up'!$C$4,$V26-4,0)&amp;"")</f>
        <v/>
      </c>
      <c r="S26" s="250" t="str">
        <f t="shared" ca="1" si="0"/>
        <v/>
      </c>
      <c r="T26" s="250" t="str">
        <f ca="1">IF(B26="","",IF(ISERROR(MATCH($J26,SorP!$B$1:$B$6230,0)),"",INDIRECT("'SorP'!$A$"&amp;MATCH($J26,SorP!$B$1:$B$6230,0))))</f>
        <v/>
      </c>
      <c r="U26" s="280"/>
      <c r="V26" s="281" t="e">
        <f>IF(C26="",NA(),MATCH($B26&amp;$C26,'Smelter Look-up'!$J:$J,0))</f>
        <v>#N/A</v>
      </c>
      <c r="W26" s="282"/>
      <c r="X26" s="282">
        <f t="shared" ca="1" si="1"/>
        <v>0</v>
      </c>
      <c r="Y26" s="282"/>
      <c r="Z26" s="282"/>
      <c r="AB26" s="284" t="str">
        <f t="shared" si="2"/>
        <v/>
      </c>
    </row>
    <row r="27" spans="1:28" s="283" customFormat="1" ht="20.25">
      <c r="A27" s="235"/>
      <c r="B27" s="236" t="str">
        <f>IF(LEN(A27)=0,"",INDEX('Smelter Look-up'!$A:$A,MATCH($A27,'Smelter Look-up'!$E:$E,0)))</f>
        <v/>
      </c>
      <c r="C27" s="242" t="str">
        <f>IF(LEN(A27)=0,"",INDEX('Smelter Look-up'!$C:$C,MATCH($A27,'Smelter Look-up'!$E:$E,0)))</f>
        <v/>
      </c>
      <c r="D27" s="236"/>
      <c r="E27" s="236" t="str">
        <f ca="1">IF(ISERROR($V27),"",OFFSET('Smelter Look-up'!$D$4,$V27-4,0)&amp;"")</f>
        <v/>
      </c>
      <c r="F27" s="236" t="str">
        <f ca="1">IF(ISERROR($V27),"",OFFSET('Smelter Look-up'!$E$4,$V27-4,0))</f>
        <v/>
      </c>
      <c r="G27" s="236" t="str">
        <f ca="1">IF(C27=$X$4,"Enter smelter details", IF(ISERROR($V27),"",OFFSET('Smelter Look-up'!$F$4,$V27-4,0)))</f>
        <v/>
      </c>
      <c r="H27" s="237" t="str">
        <f ca="1">IF(ISERROR($V27),"",OFFSET('Smelter Look-up'!$G$4,$V27-4,0))</f>
        <v/>
      </c>
      <c r="I27" s="238" t="str">
        <f ca="1">IF(ISERROR($V27),"",OFFSET('Smelter Look-up'!$H$4,$V27-4,0))</f>
        <v/>
      </c>
      <c r="J27" s="238" t="str">
        <f ca="1">IF(ISERROR($V27),"",OFFSET('Smelter Look-up'!$I$4,$V27-4,0))</f>
        <v/>
      </c>
      <c r="K27" s="240"/>
      <c r="L27" s="240"/>
      <c r="M27" s="240"/>
      <c r="N27" s="240"/>
      <c r="O27" s="240"/>
      <c r="P27" s="239"/>
      <c r="Q27" s="241"/>
      <c r="R27" s="236" t="str">
        <f ca="1">IF(ISERROR($V27),"",OFFSET('Smelter Look-up'!$C$4,$V27-4,0)&amp;"")</f>
        <v/>
      </c>
      <c r="S27" s="250" t="str">
        <f t="shared" ca="1" si="0"/>
        <v/>
      </c>
      <c r="T27" s="250" t="str">
        <f ca="1">IF(B27="","",IF(ISERROR(MATCH($J27,SorP!$B$1:$B$6230,0)),"",INDIRECT("'SorP'!$A$"&amp;MATCH($J27,SorP!$B$1:$B$6230,0))))</f>
        <v/>
      </c>
      <c r="U27" s="280"/>
      <c r="V27" s="281" t="e">
        <f>IF(C27="",NA(),MATCH($B27&amp;$C27,'Smelter Look-up'!$J:$J,0))</f>
        <v>#N/A</v>
      </c>
      <c r="W27" s="282"/>
      <c r="X27" s="282">
        <f t="shared" ca="1" si="1"/>
        <v>0</v>
      </c>
      <c r="Y27" s="282"/>
      <c r="Z27" s="282"/>
      <c r="AB27" s="284" t="str">
        <f t="shared" si="2"/>
        <v/>
      </c>
    </row>
    <row r="28" spans="1:28" s="283" customFormat="1" ht="20.25">
      <c r="A28" s="235"/>
      <c r="B28" s="236" t="str">
        <f>IF(LEN(A28)=0,"",INDEX('Smelter Look-up'!$A:$A,MATCH($A28,'Smelter Look-up'!$E:$E,0)))</f>
        <v/>
      </c>
      <c r="C28" s="242" t="str">
        <f>IF(LEN(A28)=0,"",INDEX('Smelter Look-up'!$C:$C,MATCH($A28,'Smelter Look-up'!$E:$E,0)))</f>
        <v/>
      </c>
      <c r="D28" s="236"/>
      <c r="E28" s="236" t="str">
        <f ca="1">IF(ISERROR($V28),"",OFFSET('Smelter Look-up'!$D$4,$V28-4,0)&amp;"")</f>
        <v/>
      </c>
      <c r="F28" s="236" t="str">
        <f ca="1">IF(ISERROR($V28),"",OFFSET('Smelter Look-up'!$E$4,$V28-4,0))</f>
        <v/>
      </c>
      <c r="G28" s="236" t="str">
        <f ca="1">IF(C28=$X$4,"Enter smelter details", IF(ISERROR($V28),"",OFFSET('Smelter Look-up'!$F$4,$V28-4,0)))</f>
        <v/>
      </c>
      <c r="H28" s="237" t="str">
        <f ca="1">IF(ISERROR($V28),"",OFFSET('Smelter Look-up'!$G$4,$V28-4,0))</f>
        <v/>
      </c>
      <c r="I28" s="238" t="str">
        <f ca="1">IF(ISERROR($V28),"",OFFSET('Smelter Look-up'!$H$4,$V28-4,0))</f>
        <v/>
      </c>
      <c r="J28" s="238" t="str">
        <f ca="1">IF(ISERROR($V28),"",OFFSET('Smelter Look-up'!$I$4,$V28-4,0))</f>
        <v/>
      </c>
      <c r="K28" s="240"/>
      <c r="L28" s="240"/>
      <c r="M28" s="240"/>
      <c r="N28" s="240"/>
      <c r="O28" s="240"/>
      <c r="P28" s="239"/>
      <c r="Q28" s="241"/>
      <c r="R28" s="236" t="str">
        <f ca="1">IF(ISERROR($V28),"",OFFSET('Smelter Look-up'!$C$4,$V28-4,0)&amp;"")</f>
        <v/>
      </c>
      <c r="S28" s="250" t="str">
        <f t="shared" ca="1" si="0"/>
        <v/>
      </c>
      <c r="T28" s="250" t="str">
        <f ca="1">IF(B28="","",IF(ISERROR(MATCH($J28,SorP!$B$1:$B$6230,0)),"",INDIRECT("'SorP'!$A$"&amp;MATCH($J28,SorP!$B$1:$B$6230,0))))</f>
        <v/>
      </c>
      <c r="U28" s="280"/>
      <c r="V28" s="281" t="e">
        <f>IF(C28="",NA(),MATCH($B28&amp;$C28,'Smelter Look-up'!$J:$J,0))</f>
        <v>#N/A</v>
      </c>
      <c r="W28" s="282"/>
      <c r="X28" s="282">
        <f t="shared" ca="1" si="1"/>
        <v>0</v>
      </c>
      <c r="Y28" s="282"/>
      <c r="Z28" s="282"/>
      <c r="AB28" s="284" t="str">
        <f t="shared" si="2"/>
        <v/>
      </c>
    </row>
    <row r="29" spans="1:28" s="283" customFormat="1" ht="20.25">
      <c r="A29" s="235"/>
      <c r="B29" s="236" t="str">
        <f>IF(LEN(A29)=0,"",INDEX('Smelter Look-up'!$A:$A,MATCH($A29,'Smelter Look-up'!$E:$E,0)))</f>
        <v/>
      </c>
      <c r="C29" s="242" t="str">
        <f>IF(LEN(A29)=0,"",INDEX('Smelter Look-up'!$C:$C,MATCH($A29,'Smelter Look-up'!$E:$E,0)))</f>
        <v/>
      </c>
      <c r="D29" s="236"/>
      <c r="E29" s="236" t="str">
        <f ca="1">IF(ISERROR($V29),"",OFFSET('Smelter Look-up'!$D$4,$V29-4,0)&amp;"")</f>
        <v/>
      </c>
      <c r="F29" s="236" t="str">
        <f ca="1">IF(ISERROR($V29),"",OFFSET('Smelter Look-up'!$E$4,$V29-4,0))</f>
        <v/>
      </c>
      <c r="G29" s="236" t="str">
        <f ca="1">IF(C29=$X$4,"Enter smelter details", IF(ISERROR($V29),"",OFFSET('Smelter Look-up'!$F$4,$V29-4,0)))</f>
        <v/>
      </c>
      <c r="H29" s="237" t="str">
        <f ca="1">IF(ISERROR($V29),"",OFFSET('Smelter Look-up'!$G$4,$V29-4,0))</f>
        <v/>
      </c>
      <c r="I29" s="238" t="str">
        <f ca="1">IF(ISERROR($V29),"",OFFSET('Smelter Look-up'!$H$4,$V29-4,0))</f>
        <v/>
      </c>
      <c r="J29" s="238" t="str">
        <f ca="1">IF(ISERROR($V29),"",OFFSET('Smelter Look-up'!$I$4,$V29-4,0))</f>
        <v/>
      </c>
      <c r="K29" s="240"/>
      <c r="L29" s="240"/>
      <c r="M29" s="240"/>
      <c r="N29" s="240"/>
      <c r="O29" s="240"/>
      <c r="P29" s="239"/>
      <c r="Q29" s="241"/>
      <c r="R29" s="236" t="str">
        <f ca="1">IF(ISERROR($V29),"",OFFSET('Smelter Look-up'!$C$4,$V29-4,0)&amp;"")</f>
        <v/>
      </c>
      <c r="S29" s="250" t="str">
        <f t="shared" ca="1" si="0"/>
        <v/>
      </c>
      <c r="T29" s="250" t="str">
        <f ca="1">IF(B29="","",IF(ISERROR(MATCH($J29,SorP!$B$1:$B$6230,0)),"",INDIRECT("'SorP'!$A$"&amp;MATCH($J29,SorP!$B$1:$B$6230,0))))</f>
        <v/>
      </c>
      <c r="U29" s="280"/>
      <c r="V29" s="281" t="e">
        <f>IF(C29="",NA(),MATCH($B29&amp;$C29,'Smelter Look-up'!$J:$J,0))</f>
        <v>#N/A</v>
      </c>
      <c r="W29" s="282"/>
      <c r="X29" s="282">
        <f t="shared" ca="1" si="1"/>
        <v>0</v>
      </c>
      <c r="Y29" s="282"/>
      <c r="Z29" s="282"/>
      <c r="AB29" s="284" t="str">
        <f t="shared" si="2"/>
        <v/>
      </c>
    </row>
    <row r="30" spans="1:28" s="283" customFormat="1" ht="20.25">
      <c r="A30" s="235"/>
      <c r="B30" s="236" t="str">
        <f>IF(LEN(A30)=0,"",INDEX('Smelter Look-up'!$A:$A,MATCH($A30,'Smelter Look-up'!$E:$E,0)))</f>
        <v/>
      </c>
      <c r="C30" s="242" t="str">
        <f>IF(LEN(A30)=0,"",INDEX('Smelter Look-up'!$C:$C,MATCH($A30,'Smelter Look-up'!$E:$E,0)))</f>
        <v/>
      </c>
      <c r="D30" s="236"/>
      <c r="E30" s="236" t="str">
        <f ca="1">IF(ISERROR($V30),"",OFFSET('Smelter Look-up'!$D$4,$V30-4,0)&amp;"")</f>
        <v/>
      </c>
      <c r="F30" s="236" t="str">
        <f ca="1">IF(ISERROR($V30),"",OFFSET('Smelter Look-up'!$E$4,$V30-4,0))</f>
        <v/>
      </c>
      <c r="G30" s="236" t="str">
        <f ca="1">IF(C30=$X$4,"Enter smelter details", IF(ISERROR($V30),"",OFFSET('Smelter Look-up'!$F$4,$V30-4,0)))</f>
        <v/>
      </c>
      <c r="H30" s="237" t="str">
        <f ca="1">IF(ISERROR($V30),"",OFFSET('Smelter Look-up'!$G$4,$V30-4,0))</f>
        <v/>
      </c>
      <c r="I30" s="238" t="str">
        <f ca="1">IF(ISERROR($V30),"",OFFSET('Smelter Look-up'!$H$4,$V30-4,0))</f>
        <v/>
      </c>
      <c r="J30" s="238" t="str">
        <f ca="1">IF(ISERROR($V30),"",OFFSET('Smelter Look-up'!$I$4,$V30-4,0))</f>
        <v/>
      </c>
      <c r="K30" s="240"/>
      <c r="L30" s="240"/>
      <c r="M30" s="240"/>
      <c r="N30" s="240"/>
      <c r="O30" s="240"/>
      <c r="P30" s="239"/>
      <c r="Q30" s="241"/>
      <c r="R30" s="236" t="str">
        <f ca="1">IF(ISERROR($V30),"",OFFSET('Smelter Look-up'!$C$4,$V30-4,0)&amp;"")</f>
        <v/>
      </c>
      <c r="S30" s="250" t="str">
        <f t="shared" ca="1" si="0"/>
        <v/>
      </c>
      <c r="T30" s="250" t="str">
        <f ca="1">IF(B30="","",IF(ISERROR(MATCH($J30,SorP!$B$1:$B$6230,0)),"",INDIRECT("'SorP'!$A$"&amp;MATCH($J30,SorP!$B$1:$B$6230,0))))</f>
        <v/>
      </c>
      <c r="U30" s="280"/>
      <c r="V30" s="281" t="e">
        <f>IF(C30="",NA(),MATCH($B30&amp;$C30,'Smelter Look-up'!$J:$J,0))</f>
        <v>#N/A</v>
      </c>
      <c r="W30" s="282"/>
      <c r="X30" s="282">
        <f t="shared" ca="1" si="1"/>
        <v>0</v>
      </c>
      <c r="Y30" s="282"/>
      <c r="Z30" s="282"/>
      <c r="AB30" s="284" t="str">
        <f t="shared" si="2"/>
        <v/>
      </c>
    </row>
    <row r="31" spans="1:28" s="283" customFormat="1" ht="20.25">
      <c r="A31" s="235"/>
      <c r="B31" s="236" t="str">
        <f>IF(LEN(A31)=0,"",INDEX('Smelter Look-up'!$A:$A,MATCH($A31,'Smelter Look-up'!$E:$E,0)))</f>
        <v/>
      </c>
      <c r="C31" s="242" t="str">
        <f>IF(LEN(A31)=0,"",INDEX('Smelter Look-up'!$C:$C,MATCH($A31,'Smelter Look-up'!$E:$E,0)))</f>
        <v/>
      </c>
      <c r="D31" s="236"/>
      <c r="E31" s="236" t="str">
        <f ca="1">IF(ISERROR($V31),"",OFFSET('Smelter Look-up'!$D$4,$V31-4,0)&amp;"")</f>
        <v/>
      </c>
      <c r="F31" s="236" t="str">
        <f ca="1">IF(ISERROR($V31),"",OFFSET('Smelter Look-up'!$E$4,$V31-4,0))</f>
        <v/>
      </c>
      <c r="G31" s="236" t="str">
        <f ca="1">IF(C31=$X$4,"Enter smelter details", IF(ISERROR($V31),"",OFFSET('Smelter Look-up'!$F$4,$V31-4,0)))</f>
        <v/>
      </c>
      <c r="H31" s="237" t="str">
        <f ca="1">IF(ISERROR($V31),"",OFFSET('Smelter Look-up'!$G$4,$V31-4,0))</f>
        <v/>
      </c>
      <c r="I31" s="238" t="str">
        <f ca="1">IF(ISERROR($V31),"",OFFSET('Smelter Look-up'!$H$4,$V31-4,0))</f>
        <v/>
      </c>
      <c r="J31" s="238" t="str">
        <f ca="1">IF(ISERROR($V31),"",OFFSET('Smelter Look-up'!$I$4,$V31-4,0))</f>
        <v/>
      </c>
      <c r="K31" s="240"/>
      <c r="L31" s="240"/>
      <c r="M31" s="240"/>
      <c r="N31" s="240"/>
      <c r="O31" s="240"/>
      <c r="P31" s="239"/>
      <c r="Q31" s="241"/>
      <c r="R31" s="236" t="str">
        <f ca="1">IF(ISERROR($V31),"",OFFSET('Smelter Look-up'!$C$4,$V31-4,0)&amp;"")</f>
        <v/>
      </c>
      <c r="S31" s="250" t="str">
        <f t="shared" ca="1" si="0"/>
        <v/>
      </c>
      <c r="T31" s="250" t="str">
        <f ca="1">IF(B31="","",IF(ISERROR(MATCH($J31,SorP!$B$1:$B$6230,0)),"",INDIRECT("'SorP'!$A$"&amp;MATCH($J31,SorP!$B$1:$B$6230,0))))</f>
        <v/>
      </c>
      <c r="U31" s="280"/>
      <c r="V31" s="281" t="e">
        <f>IF(C31="",NA(),MATCH($B31&amp;$C31,'Smelter Look-up'!$J:$J,0))</f>
        <v>#N/A</v>
      </c>
      <c r="W31" s="282"/>
      <c r="X31" s="282">
        <f t="shared" ca="1" si="1"/>
        <v>0</v>
      </c>
      <c r="Y31" s="282"/>
      <c r="Z31" s="282"/>
      <c r="AB31" s="284" t="str">
        <f t="shared" si="2"/>
        <v/>
      </c>
    </row>
    <row r="32" spans="1:28" s="283" customFormat="1" ht="20.25">
      <c r="A32" s="235"/>
      <c r="B32" s="236" t="str">
        <f>IF(LEN(A32)=0,"",INDEX('Smelter Look-up'!$A:$A,MATCH($A32,'Smelter Look-up'!$E:$E,0)))</f>
        <v/>
      </c>
      <c r="C32" s="242" t="str">
        <f>IF(LEN(A32)=0,"",INDEX('Smelter Look-up'!$C:$C,MATCH($A32,'Smelter Look-up'!$E:$E,0)))</f>
        <v/>
      </c>
      <c r="D32" s="236"/>
      <c r="E32" s="236" t="str">
        <f ca="1">IF(ISERROR($V32),"",OFFSET('Smelter Look-up'!$D$4,$V32-4,0)&amp;"")</f>
        <v/>
      </c>
      <c r="F32" s="236" t="str">
        <f ca="1">IF(ISERROR($V32),"",OFFSET('Smelter Look-up'!$E$4,$V32-4,0))</f>
        <v/>
      </c>
      <c r="G32" s="236" t="str">
        <f ca="1">IF(C32=$X$4,"Enter smelter details", IF(ISERROR($V32),"",OFFSET('Smelter Look-up'!$F$4,$V32-4,0)))</f>
        <v/>
      </c>
      <c r="H32" s="237" t="str">
        <f ca="1">IF(ISERROR($V32),"",OFFSET('Smelter Look-up'!$G$4,$V32-4,0))</f>
        <v/>
      </c>
      <c r="I32" s="238" t="str">
        <f ca="1">IF(ISERROR($V32),"",OFFSET('Smelter Look-up'!$H$4,$V32-4,0))</f>
        <v/>
      </c>
      <c r="J32" s="238" t="str">
        <f ca="1">IF(ISERROR($V32),"",OFFSET('Smelter Look-up'!$I$4,$V32-4,0))</f>
        <v/>
      </c>
      <c r="K32" s="240"/>
      <c r="L32" s="240"/>
      <c r="M32" s="240"/>
      <c r="N32" s="240"/>
      <c r="O32" s="240"/>
      <c r="P32" s="239"/>
      <c r="Q32" s="241"/>
      <c r="R32" s="236" t="str">
        <f ca="1">IF(ISERROR($V32),"",OFFSET('Smelter Look-up'!$C$4,$V32-4,0)&amp;"")</f>
        <v/>
      </c>
      <c r="S32" s="250" t="str">
        <f t="shared" ca="1" si="0"/>
        <v/>
      </c>
      <c r="T32" s="250" t="str">
        <f ca="1">IF(B32="","",IF(ISERROR(MATCH($J32,SorP!$B$1:$B$6230,0)),"",INDIRECT("'SorP'!$A$"&amp;MATCH($J32,SorP!$B$1:$B$6230,0))))</f>
        <v/>
      </c>
      <c r="U32" s="280"/>
      <c r="V32" s="281" t="e">
        <f>IF(C32="",NA(),MATCH($B32&amp;$C32,'Smelter Look-up'!$J:$J,0))</f>
        <v>#N/A</v>
      </c>
      <c r="W32" s="282"/>
      <c r="X32" s="282">
        <f t="shared" ca="1" si="1"/>
        <v>0</v>
      </c>
      <c r="Y32" s="282"/>
      <c r="Z32" s="282"/>
      <c r="AB32" s="284" t="str">
        <f t="shared" si="2"/>
        <v/>
      </c>
    </row>
    <row r="33" spans="1:28" s="283" customFormat="1" ht="20.25">
      <c r="A33" s="235"/>
      <c r="B33" s="236" t="str">
        <f>IF(LEN(A33)=0,"",INDEX('Smelter Look-up'!$A:$A,MATCH($A33,'Smelter Look-up'!$E:$E,0)))</f>
        <v/>
      </c>
      <c r="C33" s="242" t="str">
        <f>IF(LEN(A33)=0,"",INDEX('Smelter Look-up'!$C:$C,MATCH($A33,'Smelter Look-up'!$E:$E,0)))</f>
        <v/>
      </c>
      <c r="D33" s="236"/>
      <c r="E33" s="236" t="str">
        <f ca="1">IF(ISERROR($V33),"",OFFSET('Smelter Look-up'!$D$4,$V33-4,0)&amp;"")</f>
        <v/>
      </c>
      <c r="F33" s="236" t="str">
        <f ca="1">IF(ISERROR($V33),"",OFFSET('Smelter Look-up'!$E$4,$V33-4,0))</f>
        <v/>
      </c>
      <c r="G33" s="236" t="str">
        <f ca="1">IF(C33=$X$4,"Enter smelter details", IF(ISERROR($V33),"",OFFSET('Smelter Look-up'!$F$4,$V33-4,0)))</f>
        <v/>
      </c>
      <c r="H33" s="237" t="str">
        <f ca="1">IF(ISERROR($V33),"",OFFSET('Smelter Look-up'!$G$4,$V33-4,0))</f>
        <v/>
      </c>
      <c r="I33" s="238" t="str">
        <f ca="1">IF(ISERROR($V33),"",OFFSET('Smelter Look-up'!$H$4,$V33-4,0))</f>
        <v/>
      </c>
      <c r="J33" s="238" t="str">
        <f ca="1">IF(ISERROR($V33),"",OFFSET('Smelter Look-up'!$I$4,$V33-4,0))</f>
        <v/>
      </c>
      <c r="K33" s="240"/>
      <c r="L33" s="240"/>
      <c r="M33" s="240"/>
      <c r="N33" s="240"/>
      <c r="O33" s="240"/>
      <c r="P33" s="239"/>
      <c r="Q33" s="241"/>
      <c r="R33" s="236" t="str">
        <f ca="1">IF(ISERROR($V33),"",OFFSET('Smelter Look-up'!$C$4,$V33-4,0)&amp;"")</f>
        <v/>
      </c>
      <c r="S33" s="250" t="str">
        <f t="shared" ca="1" si="0"/>
        <v/>
      </c>
      <c r="T33" s="250" t="str">
        <f ca="1">IF(B33="","",IF(ISERROR(MATCH($J33,SorP!$B$1:$B$6230,0)),"",INDIRECT("'SorP'!$A$"&amp;MATCH($J33,SorP!$B$1:$B$6230,0))))</f>
        <v/>
      </c>
      <c r="U33" s="280"/>
      <c r="V33" s="281" t="e">
        <f>IF(C33="",NA(),MATCH($B33&amp;$C33,'Smelter Look-up'!$J:$J,0))</f>
        <v>#N/A</v>
      </c>
      <c r="W33" s="282"/>
      <c r="X33" s="282">
        <f t="shared" ca="1" si="1"/>
        <v>0</v>
      </c>
      <c r="Y33" s="282"/>
      <c r="Z33" s="282"/>
      <c r="AB33" s="284" t="str">
        <f t="shared" si="2"/>
        <v/>
      </c>
    </row>
    <row r="34" spans="1:28" s="283" customFormat="1" ht="20.25">
      <c r="A34" s="235"/>
      <c r="B34" s="236" t="str">
        <f>IF(LEN(A34)=0,"",INDEX('Smelter Look-up'!$A:$A,MATCH($A34,'Smelter Look-up'!$E:$E,0)))</f>
        <v/>
      </c>
      <c r="C34" s="242" t="str">
        <f>IF(LEN(A34)=0,"",INDEX('Smelter Look-up'!$C:$C,MATCH($A34,'Smelter Look-up'!$E:$E,0)))</f>
        <v/>
      </c>
      <c r="D34" s="236"/>
      <c r="E34" s="236" t="str">
        <f ca="1">IF(ISERROR($V34),"",OFFSET('Smelter Look-up'!$D$4,$V34-4,0)&amp;"")</f>
        <v/>
      </c>
      <c r="F34" s="236" t="str">
        <f ca="1">IF(ISERROR($V34),"",OFFSET('Smelter Look-up'!$E$4,$V34-4,0))</f>
        <v/>
      </c>
      <c r="G34" s="236" t="str">
        <f ca="1">IF(C34=$X$4,"Enter smelter details", IF(ISERROR($V34),"",OFFSET('Smelter Look-up'!$F$4,$V34-4,0)))</f>
        <v/>
      </c>
      <c r="H34" s="237" t="str">
        <f ca="1">IF(ISERROR($V34),"",OFFSET('Smelter Look-up'!$G$4,$V34-4,0))</f>
        <v/>
      </c>
      <c r="I34" s="238" t="str">
        <f ca="1">IF(ISERROR($V34),"",OFFSET('Smelter Look-up'!$H$4,$V34-4,0))</f>
        <v/>
      </c>
      <c r="J34" s="238" t="str">
        <f ca="1">IF(ISERROR($V34),"",OFFSET('Smelter Look-up'!$I$4,$V34-4,0))</f>
        <v/>
      </c>
      <c r="K34" s="240"/>
      <c r="L34" s="240"/>
      <c r="M34" s="240"/>
      <c r="N34" s="240"/>
      <c r="O34" s="240"/>
      <c r="P34" s="239"/>
      <c r="Q34" s="241"/>
      <c r="R34" s="236" t="str">
        <f ca="1">IF(ISERROR($V34),"",OFFSET('Smelter Look-up'!$C$4,$V34-4,0)&amp;"")</f>
        <v/>
      </c>
      <c r="S34" s="250" t="str">
        <f t="shared" ca="1" si="0"/>
        <v/>
      </c>
      <c r="T34" s="250" t="str">
        <f ca="1">IF(B34="","",IF(ISERROR(MATCH($J34,SorP!$B$1:$B$6230,0)),"",INDIRECT("'SorP'!$A$"&amp;MATCH($J34,SorP!$B$1:$B$6230,0))))</f>
        <v/>
      </c>
      <c r="U34" s="280"/>
      <c r="V34" s="281" t="e">
        <f>IF(C34="",NA(),MATCH($B34&amp;$C34,'Smelter Look-up'!$J:$J,0))</f>
        <v>#N/A</v>
      </c>
      <c r="W34" s="282"/>
      <c r="X34" s="282">
        <f t="shared" ca="1" si="1"/>
        <v>0</v>
      </c>
      <c r="Y34" s="282"/>
      <c r="Z34" s="282"/>
      <c r="AB34" s="284" t="str">
        <f t="shared" si="2"/>
        <v/>
      </c>
    </row>
    <row r="35" spans="1:28" s="283" customFormat="1" ht="20.25">
      <c r="A35" s="235"/>
      <c r="B35" s="236" t="str">
        <f>IF(LEN(A35)=0,"",INDEX('Smelter Look-up'!$A:$A,MATCH($A35,'Smelter Look-up'!$E:$E,0)))</f>
        <v/>
      </c>
      <c r="C35" s="242" t="str">
        <f>IF(LEN(A35)=0,"",INDEX('Smelter Look-up'!$C:$C,MATCH($A35,'Smelter Look-up'!$E:$E,0)))</f>
        <v/>
      </c>
      <c r="D35" s="236"/>
      <c r="E35" s="236" t="str">
        <f ca="1">IF(ISERROR($V35),"",OFFSET('Smelter Look-up'!$D$4,$V35-4,0)&amp;"")</f>
        <v/>
      </c>
      <c r="F35" s="236" t="str">
        <f ca="1">IF(ISERROR($V35),"",OFFSET('Smelter Look-up'!$E$4,$V35-4,0))</f>
        <v/>
      </c>
      <c r="G35" s="236" t="str">
        <f ca="1">IF(C35=$X$4,"Enter smelter details", IF(ISERROR($V35),"",OFFSET('Smelter Look-up'!$F$4,$V35-4,0)))</f>
        <v/>
      </c>
      <c r="H35" s="237" t="str">
        <f ca="1">IF(ISERROR($V35),"",OFFSET('Smelter Look-up'!$G$4,$V35-4,0))</f>
        <v/>
      </c>
      <c r="I35" s="238" t="str">
        <f ca="1">IF(ISERROR($V35),"",OFFSET('Smelter Look-up'!$H$4,$V35-4,0))</f>
        <v/>
      </c>
      <c r="J35" s="238" t="str">
        <f ca="1">IF(ISERROR($V35),"",OFFSET('Smelter Look-up'!$I$4,$V35-4,0))</f>
        <v/>
      </c>
      <c r="K35" s="240"/>
      <c r="L35" s="240"/>
      <c r="M35" s="240"/>
      <c r="N35" s="240"/>
      <c r="O35" s="240"/>
      <c r="P35" s="239"/>
      <c r="Q35" s="241"/>
      <c r="R35" s="236" t="str">
        <f ca="1">IF(ISERROR($V35),"",OFFSET('Smelter Look-up'!$C$4,$V35-4,0)&amp;"")</f>
        <v/>
      </c>
      <c r="S35" s="250" t="str">
        <f t="shared" ca="1" si="0"/>
        <v/>
      </c>
      <c r="T35" s="250" t="str">
        <f ca="1">IF(B35="","",IF(ISERROR(MATCH($J35,SorP!$B$1:$B$6230,0)),"",INDIRECT("'SorP'!$A$"&amp;MATCH($J35,SorP!$B$1:$B$6230,0))))</f>
        <v/>
      </c>
      <c r="U35" s="280"/>
      <c r="V35" s="281" t="e">
        <f>IF(C35="",NA(),MATCH($B35&amp;$C35,'Smelter Look-up'!$J:$J,0))</f>
        <v>#N/A</v>
      </c>
      <c r="W35" s="282"/>
      <c r="X35" s="282">
        <f t="shared" ca="1" si="1"/>
        <v>0</v>
      </c>
      <c r="Y35" s="282"/>
      <c r="Z35" s="282"/>
      <c r="AB35" s="284" t="str">
        <f t="shared" si="2"/>
        <v/>
      </c>
    </row>
    <row r="36" spans="1:28" s="283" customFormat="1" ht="20.25">
      <c r="A36" s="235"/>
      <c r="B36" s="236" t="str">
        <f>IF(LEN(A36)=0,"",INDEX('Smelter Look-up'!$A:$A,MATCH($A36,'Smelter Look-up'!$E:$E,0)))</f>
        <v/>
      </c>
      <c r="C36" s="242" t="str">
        <f>IF(LEN(A36)=0,"",INDEX('Smelter Look-up'!$C:$C,MATCH($A36,'Smelter Look-up'!$E:$E,0)))</f>
        <v/>
      </c>
      <c r="D36" s="236"/>
      <c r="E36" s="236" t="str">
        <f ca="1">IF(ISERROR($V36),"",OFFSET('Smelter Look-up'!$D$4,$V36-4,0)&amp;"")</f>
        <v/>
      </c>
      <c r="F36" s="236" t="str">
        <f ca="1">IF(ISERROR($V36),"",OFFSET('Smelter Look-up'!$E$4,$V36-4,0))</f>
        <v/>
      </c>
      <c r="G36" s="236" t="str">
        <f ca="1">IF(C36=$X$4,"Enter smelter details", IF(ISERROR($V36),"",OFFSET('Smelter Look-up'!$F$4,$V36-4,0)))</f>
        <v/>
      </c>
      <c r="H36" s="237" t="str">
        <f ca="1">IF(ISERROR($V36),"",OFFSET('Smelter Look-up'!$G$4,$V36-4,0))</f>
        <v/>
      </c>
      <c r="I36" s="238" t="str">
        <f ca="1">IF(ISERROR($V36),"",OFFSET('Smelter Look-up'!$H$4,$V36-4,0))</f>
        <v/>
      </c>
      <c r="J36" s="238" t="str">
        <f ca="1">IF(ISERROR($V36),"",OFFSET('Smelter Look-up'!$I$4,$V36-4,0))</f>
        <v/>
      </c>
      <c r="K36" s="240"/>
      <c r="L36" s="240"/>
      <c r="M36" s="240"/>
      <c r="N36" s="240"/>
      <c r="O36" s="240"/>
      <c r="P36" s="239"/>
      <c r="Q36" s="241"/>
      <c r="R36" s="236" t="str">
        <f ca="1">IF(ISERROR($V36),"",OFFSET('Smelter Look-up'!$C$4,$V36-4,0)&amp;"")</f>
        <v/>
      </c>
      <c r="S36" s="250" t="str">
        <f t="shared" ca="1" si="0"/>
        <v/>
      </c>
      <c r="T36" s="250" t="str">
        <f ca="1">IF(B36="","",IF(ISERROR(MATCH($J36,SorP!$B$1:$B$6230,0)),"",INDIRECT("'SorP'!$A$"&amp;MATCH($J36,SorP!$B$1:$B$6230,0))))</f>
        <v/>
      </c>
      <c r="U36" s="280"/>
      <c r="V36" s="281" t="e">
        <f>IF(C36="",NA(),MATCH($B36&amp;$C36,'Smelter Look-up'!$J:$J,0))</f>
        <v>#N/A</v>
      </c>
      <c r="W36" s="282"/>
      <c r="X36" s="282">
        <f t="shared" ca="1" si="1"/>
        <v>0</v>
      </c>
      <c r="Y36" s="282"/>
      <c r="Z36" s="282"/>
      <c r="AB36" s="284" t="str">
        <f t="shared" si="2"/>
        <v/>
      </c>
    </row>
    <row r="37" spans="1:28" s="283" customFormat="1" ht="20.25">
      <c r="A37" s="235"/>
      <c r="B37" s="236" t="str">
        <f>IF(LEN(A37)=0,"",INDEX('Smelter Look-up'!$A:$A,MATCH($A37,'Smelter Look-up'!$E:$E,0)))</f>
        <v/>
      </c>
      <c r="C37" s="242" t="str">
        <f>IF(LEN(A37)=0,"",INDEX('Smelter Look-up'!$C:$C,MATCH($A37,'Smelter Look-up'!$E:$E,0)))</f>
        <v/>
      </c>
      <c r="D37" s="236"/>
      <c r="E37" s="236" t="str">
        <f ca="1">IF(ISERROR($V37),"",OFFSET('Smelter Look-up'!$D$4,$V37-4,0)&amp;"")</f>
        <v/>
      </c>
      <c r="F37" s="236" t="str">
        <f ca="1">IF(ISERROR($V37),"",OFFSET('Smelter Look-up'!$E$4,$V37-4,0))</f>
        <v/>
      </c>
      <c r="G37" s="236" t="str">
        <f ca="1">IF(C37=$X$4,"Enter smelter details", IF(ISERROR($V37),"",OFFSET('Smelter Look-up'!$F$4,$V37-4,0)))</f>
        <v/>
      </c>
      <c r="H37" s="237" t="str">
        <f ca="1">IF(ISERROR($V37),"",OFFSET('Smelter Look-up'!$G$4,$V37-4,0))</f>
        <v/>
      </c>
      <c r="I37" s="238" t="str">
        <f ca="1">IF(ISERROR($V37),"",OFFSET('Smelter Look-up'!$H$4,$V37-4,0))</f>
        <v/>
      </c>
      <c r="J37" s="238" t="str">
        <f ca="1">IF(ISERROR($V37),"",OFFSET('Smelter Look-up'!$I$4,$V37-4,0))</f>
        <v/>
      </c>
      <c r="K37" s="240"/>
      <c r="L37" s="240"/>
      <c r="M37" s="240"/>
      <c r="N37" s="240"/>
      <c r="O37" s="240"/>
      <c r="P37" s="239"/>
      <c r="Q37" s="241"/>
      <c r="R37" s="236" t="str">
        <f ca="1">IF(ISERROR($V37),"",OFFSET('Smelter Look-up'!$C$4,$V37-4,0)&amp;"")</f>
        <v/>
      </c>
      <c r="S37" s="250" t="str">
        <f t="shared" ca="1" si="0"/>
        <v/>
      </c>
      <c r="T37" s="250" t="str">
        <f ca="1">IF(B37="","",IF(ISERROR(MATCH($J37,SorP!$B$1:$B$6230,0)),"",INDIRECT("'SorP'!$A$"&amp;MATCH($J37,SorP!$B$1:$B$6230,0))))</f>
        <v/>
      </c>
      <c r="U37" s="280"/>
      <c r="V37" s="281" t="e">
        <f>IF(C37="",NA(),MATCH($B37&amp;$C37,'Smelter Look-up'!$J:$J,0))</f>
        <v>#N/A</v>
      </c>
      <c r="W37" s="282"/>
      <c r="X37" s="282">
        <f t="shared" ca="1" si="1"/>
        <v>0</v>
      </c>
      <c r="Y37" s="282"/>
      <c r="Z37" s="282"/>
      <c r="AB37" s="284" t="str">
        <f t="shared" si="2"/>
        <v/>
      </c>
    </row>
    <row r="38" spans="1:28" s="283" customFormat="1" ht="20.25">
      <c r="A38" s="235"/>
      <c r="B38" s="236" t="str">
        <f>IF(LEN(A38)=0,"",INDEX('Smelter Look-up'!$A:$A,MATCH($A38,'Smelter Look-up'!$E:$E,0)))</f>
        <v/>
      </c>
      <c r="C38" s="242" t="str">
        <f>IF(LEN(A38)=0,"",INDEX('Smelter Look-up'!$C:$C,MATCH($A38,'Smelter Look-up'!$E:$E,0)))</f>
        <v/>
      </c>
      <c r="D38" s="236"/>
      <c r="E38" s="236" t="str">
        <f ca="1">IF(ISERROR($V38),"",OFFSET('Smelter Look-up'!$D$4,$V38-4,0)&amp;"")</f>
        <v/>
      </c>
      <c r="F38" s="236" t="str">
        <f ca="1">IF(ISERROR($V38),"",OFFSET('Smelter Look-up'!$E$4,$V38-4,0))</f>
        <v/>
      </c>
      <c r="G38" s="236" t="str">
        <f ca="1">IF(C38=$X$4,"Enter smelter details", IF(ISERROR($V38),"",OFFSET('Smelter Look-up'!$F$4,$V38-4,0)))</f>
        <v/>
      </c>
      <c r="H38" s="237" t="str">
        <f ca="1">IF(ISERROR($V38),"",OFFSET('Smelter Look-up'!$G$4,$V38-4,0))</f>
        <v/>
      </c>
      <c r="I38" s="238" t="str">
        <f ca="1">IF(ISERROR($V38),"",OFFSET('Smelter Look-up'!$H$4,$V38-4,0))</f>
        <v/>
      </c>
      <c r="J38" s="238" t="str">
        <f ca="1">IF(ISERROR($V38),"",OFFSET('Smelter Look-up'!$I$4,$V38-4,0))</f>
        <v/>
      </c>
      <c r="K38" s="240"/>
      <c r="L38" s="240"/>
      <c r="M38" s="240"/>
      <c r="N38" s="240"/>
      <c r="O38" s="240"/>
      <c r="P38" s="239"/>
      <c r="Q38" s="241"/>
      <c r="R38" s="236" t="str">
        <f ca="1">IF(ISERROR($V38),"",OFFSET('Smelter Look-up'!$C$4,$V38-4,0)&amp;"")</f>
        <v/>
      </c>
      <c r="S38" s="250" t="str">
        <f t="shared" ca="1" si="0"/>
        <v/>
      </c>
      <c r="T38" s="250" t="str">
        <f ca="1">IF(B38="","",IF(ISERROR(MATCH($J38,SorP!$B$1:$B$6230,0)),"",INDIRECT("'SorP'!$A$"&amp;MATCH($J38,SorP!$B$1:$B$6230,0))))</f>
        <v/>
      </c>
      <c r="U38" s="280"/>
      <c r="V38" s="281" t="e">
        <f>IF(C38="",NA(),MATCH($B38&amp;$C38,'Smelter Look-up'!$J:$J,0))</f>
        <v>#N/A</v>
      </c>
      <c r="W38" s="282"/>
      <c r="X38" s="282">
        <f t="shared" ca="1" si="1"/>
        <v>0</v>
      </c>
      <c r="Y38" s="282"/>
      <c r="Z38" s="282"/>
      <c r="AB38" s="284" t="str">
        <f t="shared" si="2"/>
        <v/>
      </c>
    </row>
    <row r="39" spans="1:28" s="283" customFormat="1" ht="20.25">
      <c r="A39" s="235"/>
      <c r="B39" s="236" t="str">
        <f>IF(LEN(A39)=0,"",INDEX('Smelter Look-up'!$A:$A,MATCH($A39,'Smelter Look-up'!$E:$E,0)))</f>
        <v/>
      </c>
      <c r="C39" s="242" t="str">
        <f>IF(LEN(A39)=0,"",INDEX('Smelter Look-up'!$C:$C,MATCH($A39,'Smelter Look-up'!$E:$E,0)))</f>
        <v/>
      </c>
      <c r="D39" s="236"/>
      <c r="E39" s="236" t="str">
        <f ca="1">IF(ISERROR($V39),"",OFFSET('Smelter Look-up'!$D$4,$V39-4,0)&amp;"")</f>
        <v/>
      </c>
      <c r="F39" s="236" t="str">
        <f ca="1">IF(ISERROR($V39),"",OFFSET('Smelter Look-up'!$E$4,$V39-4,0))</f>
        <v/>
      </c>
      <c r="G39" s="236" t="str">
        <f ca="1">IF(C39=$X$4,"Enter smelter details", IF(ISERROR($V39),"",OFFSET('Smelter Look-up'!$F$4,$V39-4,0)))</f>
        <v/>
      </c>
      <c r="H39" s="237" t="str">
        <f ca="1">IF(ISERROR($V39),"",OFFSET('Smelter Look-up'!$G$4,$V39-4,0))</f>
        <v/>
      </c>
      <c r="I39" s="238" t="str">
        <f ca="1">IF(ISERROR($V39),"",OFFSET('Smelter Look-up'!$H$4,$V39-4,0))</f>
        <v/>
      </c>
      <c r="J39" s="238" t="str">
        <f ca="1">IF(ISERROR($V39),"",OFFSET('Smelter Look-up'!$I$4,$V39-4,0))</f>
        <v/>
      </c>
      <c r="K39" s="240"/>
      <c r="L39" s="240"/>
      <c r="M39" s="240"/>
      <c r="N39" s="240"/>
      <c r="O39" s="240"/>
      <c r="P39" s="239"/>
      <c r="Q39" s="241"/>
      <c r="R39" s="236" t="str">
        <f ca="1">IF(ISERROR($V39),"",OFFSET('Smelter Look-up'!$C$4,$V39-4,0)&amp;"")</f>
        <v/>
      </c>
      <c r="S39" s="250" t="str">
        <f t="shared" ca="1" si="0"/>
        <v/>
      </c>
      <c r="T39" s="250" t="str">
        <f ca="1">IF(B39="","",IF(ISERROR(MATCH($J39,SorP!$B$1:$B$6230,0)),"",INDIRECT("'SorP'!$A$"&amp;MATCH($J39,SorP!$B$1:$B$6230,0))))</f>
        <v/>
      </c>
      <c r="U39" s="280"/>
      <c r="V39" s="281" t="e">
        <f>IF(C39="",NA(),MATCH($B39&amp;$C39,'Smelter Look-up'!$J:$J,0))</f>
        <v>#N/A</v>
      </c>
      <c r="W39" s="282"/>
      <c r="X39" s="282">
        <f t="shared" ca="1" si="1"/>
        <v>0</v>
      </c>
      <c r="Y39" s="282"/>
      <c r="Z39" s="282"/>
      <c r="AB39" s="284" t="str">
        <f t="shared" si="2"/>
        <v/>
      </c>
    </row>
    <row r="40" spans="1:28" s="283" customFormat="1" ht="20.25">
      <c r="A40" s="235"/>
      <c r="B40" s="236" t="str">
        <f>IF(LEN(A40)=0,"",INDEX('Smelter Look-up'!$A:$A,MATCH($A40,'Smelter Look-up'!$E:$E,0)))</f>
        <v/>
      </c>
      <c r="C40" s="242" t="str">
        <f>IF(LEN(A40)=0,"",INDEX('Smelter Look-up'!$C:$C,MATCH($A40,'Smelter Look-up'!$E:$E,0)))</f>
        <v/>
      </c>
      <c r="D40" s="236"/>
      <c r="E40" s="236" t="str">
        <f ca="1">IF(ISERROR($V40),"",OFFSET('Smelter Look-up'!$D$4,$V40-4,0)&amp;"")</f>
        <v/>
      </c>
      <c r="F40" s="236" t="str">
        <f ca="1">IF(ISERROR($V40),"",OFFSET('Smelter Look-up'!$E$4,$V40-4,0))</f>
        <v/>
      </c>
      <c r="G40" s="236" t="str">
        <f ca="1">IF(C40=$X$4,"Enter smelter details", IF(ISERROR($V40),"",OFFSET('Smelter Look-up'!$F$4,$V40-4,0)))</f>
        <v/>
      </c>
      <c r="H40" s="237" t="str">
        <f ca="1">IF(ISERROR($V40),"",OFFSET('Smelter Look-up'!$G$4,$V40-4,0))</f>
        <v/>
      </c>
      <c r="I40" s="238" t="str">
        <f ca="1">IF(ISERROR($V40),"",OFFSET('Smelter Look-up'!$H$4,$V40-4,0))</f>
        <v/>
      </c>
      <c r="J40" s="238" t="str">
        <f ca="1">IF(ISERROR($V40),"",OFFSET('Smelter Look-up'!$I$4,$V40-4,0))</f>
        <v/>
      </c>
      <c r="K40" s="240"/>
      <c r="L40" s="240"/>
      <c r="M40" s="240"/>
      <c r="N40" s="240"/>
      <c r="O40" s="240"/>
      <c r="P40" s="239"/>
      <c r="Q40" s="241"/>
      <c r="R40" s="236" t="str">
        <f ca="1">IF(ISERROR($V40),"",OFFSET('Smelter Look-up'!$C$4,$V40-4,0)&amp;"")</f>
        <v/>
      </c>
      <c r="S40" s="250" t="str">
        <f t="shared" ca="1" si="0"/>
        <v/>
      </c>
      <c r="T40" s="250" t="str">
        <f ca="1">IF(B40="","",IF(ISERROR(MATCH($J40,SorP!$B$1:$B$6230,0)),"",INDIRECT("'SorP'!$A$"&amp;MATCH($J40,SorP!$B$1:$B$6230,0))))</f>
        <v/>
      </c>
      <c r="U40" s="280"/>
      <c r="V40" s="281" t="e">
        <f>IF(C40="",NA(),MATCH($B40&amp;$C40,'Smelter Look-up'!$J:$J,0))</f>
        <v>#N/A</v>
      </c>
      <c r="W40" s="282"/>
      <c r="X40" s="282">
        <f t="shared" ca="1" si="1"/>
        <v>0</v>
      </c>
      <c r="Y40" s="282"/>
      <c r="Z40" s="282"/>
      <c r="AB40" s="284" t="str">
        <f t="shared" si="2"/>
        <v/>
      </c>
    </row>
    <row r="41" spans="1:28" s="283" customFormat="1" ht="20.25">
      <c r="A41" s="235"/>
      <c r="B41" s="236" t="str">
        <f>IF(LEN(A41)=0,"",INDEX('Smelter Look-up'!$A:$A,MATCH($A41,'Smelter Look-up'!$E:$E,0)))</f>
        <v/>
      </c>
      <c r="C41" s="242" t="str">
        <f>IF(LEN(A41)=0,"",INDEX('Smelter Look-up'!$C:$C,MATCH($A41,'Smelter Look-up'!$E:$E,0)))</f>
        <v/>
      </c>
      <c r="D41" s="236"/>
      <c r="E41" s="236" t="str">
        <f ca="1">IF(ISERROR($V41),"",OFFSET('Smelter Look-up'!$D$4,$V41-4,0)&amp;"")</f>
        <v/>
      </c>
      <c r="F41" s="236" t="str">
        <f ca="1">IF(ISERROR($V41),"",OFFSET('Smelter Look-up'!$E$4,$V41-4,0))</f>
        <v/>
      </c>
      <c r="G41" s="236" t="str">
        <f ca="1">IF(C41=$X$4,"Enter smelter details", IF(ISERROR($V41),"",OFFSET('Smelter Look-up'!$F$4,$V41-4,0)))</f>
        <v/>
      </c>
      <c r="H41" s="237" t="str">
        <f ca="1">IF(ISERROR($V41),"",OFFSET('Smelter Look-up'!$G$4,$V41-4,0))</f>
        <v/>
      </c>
      <c r="I41" s="238" t="str">
        <f ca="1">IF(ISERROR($V41),"",OFFSET('Smelter Look-up'!$H$4,$V41-4,0))</f>
        <v/>
      </c>
      <c r="J41" s="238" t="str">
        <f ca="1">IF(ISERROR($V41),"",OFFSET('Smelter Look-up'!$I$4,$V41-4,0))</f>
        <v/>
      </c>
      <c r="K41" s="240"/>
      <c r="L41" s="240"/>
      <c r="M41" s="240"/>
      <c r="N41" s="240"/>
      <c r="O41" s="240"/>
      <c r="P41" s="239"/>
      <c r="Q41" s="241"/>
      <c r="R41" s="236" t="str">
        <f ca="1">IF(ISERROR($V41),"",OFFSET('Smelter Look-up'!$C$4,$V41-4,0)&amp;"")</f>
        <v/>
      </c>
      <c r="S41" s="250" t="str">
        <f t="shared" ca="1" si="0"/>
        <v/>
      </c>
      <c r="T41" s="250" t="str">
        <f ca="1">IF(B41="","",IF(ISERROR(MATCH($J41,SorP!$B$1:$B$6230,0)),"",INDIRECT("'SorP'!$A$"&amp;MATCH($J41,SorP!$B$1:$B$6230,0))))</f>
        <v/>
      </c>
      <c r="U41" s="280"/>
      <c r="V41" s="281" t="e">
        <f>IF(C41="",NA(),MATCH($B41&amp;$C41,'Smelter Look-up'!$J:$J,0))</f>
        <v>#N/A</v>
      </c>
      <c r="W41" s="282"/>
      <c r="X41" s="282">
        <f t="shared" ca="1" si="1"/>
        <v>0</v>
      </c>
      <c r="Y41" s="282"/>
      <c r="Z41" s="282"/>
      <c r="AB41" s="284" t="str">
        <f t="shared" si="2"/>
        <v/>
      </c>
    </row>
    <row r="42" spans="1:28" s="283" customFormat="1" ht="20.25">
      <c r="A42" s="235"/>
      <c r="B42" s="236" t="str">
        <f>IF(LEN(A42)=0,"",INDEX('Smelter Look-up'!$A:$A,MATCH($A42,'Smelter Look-up'!$E:$E,0)))</f>
        <v/>
      </c>
      <c r="C42" s="242" t="str">
        <f>IF(LEN(A42)=0,"",INDEX('Smelter Look-up'!$C:$C,MATCH($A42,'Smelter Look-up'!$E:$E,0)))</f>
        <v/>
      </c>
      <c r="D42" s="236"/>
      <c r="E42" s="236" t="str">
        <f ca="1">IF(ISERROR($V42),"",OFFSET('Smelter Look-up'!$D$4,$V42-4,0)&amp;"")</f>
        <v/>
      </c>
      <c r="F42" s="236" t="str">
        <f ca="1">IF(ISERROR($V42),"",OFFSET('Smelter Look-up'!$E$4,$V42-4,0))</f>
        <v/>
      </c>
      <c r="G42" s="236" t="str">
        <f ca="1">IF(C42=$X$4,"Enter smelter details", IF(ISERROR($V42),"",OFFSET('Smelter Look-up'!$F$4,$V42-4,0)))</f>
        <v/>
      </c>
      <c r="H42" s="237" t="str">
        <f ca="1">IF(ISERROR($V42),"",OFFSET('Smelter Look-up'!$G$4,$V42-4,0))</f>
        <v/>
      </c>
      <c r="I42" s="238" t="str">
        <f ca="1">IF(ISERROR($V42),"",OFFSET('Smelter Look-up'!$H$4,$V42-4,0))</f>
        <v/>
      </c>
      <c r="J42" s="238" t="str">
        <f ca="1">IF(ISERROR($V42),"",OFFSET('Smelter Look-up'!$I$4,$V42-4,0))</f>
        <v/>
      </c>
      <c r="K42" s="240"/>
      <c r="L42" s="240"/>
      <c r="M42" s="240"/>
      <c r="N42" s="240"/>
      <c r="O42" s="240"/>
      <c r="P42" s="239"/>
      <c r="Q42" s="241"/>
      <c r="R42" s="236" t="str">
        <f ca="1">IF(ISERROR($V42),"",OFFSET('Smelter Look-up'!$C$4,$V42-4,0)&amp;"")</f>
        <v/>
      </c>
      <c r="S42" s="250" t="str">
        <f t="shared" ca="1" si="0"/>
        <v/>
      </c>
      <c r="T42" s="250" t="str">
        <f ca="1">IF(B42="","",IF(ISERROR(MATCH($J42,SorP!$B$1:$B$6230,0)),"",INDIRECT("'SorP'!$A$"&amp;MATCH($J42,SorP!$B$1:$B$6230,0))))</f>
        <v/>
      </c>
      <c r="U42" s="280"/>
      <c r="V42" s="281" t="e">
        <f>IF(C42="",NA(),MATCH($B42&amp;$C42,'Smelter Look-up'!$J:$J,0))</f>
        <v>#N/A</v>
      </c>
      <c r="W42" s="282"/>
      <c r="X42" s="282">
        <f t="shared" ca="1" si="1"/>
        <v>0</v>
      </c>
      <c r="Y42" s="282"/>
      <c r="Z42" s="282"/>
      <c r="AB42" s="284" t="str">
        <f t="shared" si="2"/>
        <v/>
      </c>
    </row>
    <row r="43" spans="1:28" s="283" customFormat="1" ht="20.25">
      <c r="A43" s="235"/>
      <c r="B43" s="236" t="str">
        <f>IF(LEN(A43)=0,"",INDEX('Smelter Look-up'!$A:$A,MATCH($A43,'Smelter Look-up'!$E:$E,0)))</f>
        <v/>
      </c>
      <c r="C43" s="242" t="str">
        <f>IF(LEN(A43)=0,"",INDEX('Smelter Look-up'!$C:$C,MATCH($A43,'Smelter Look-up'!$E:$E,0)))</f>
        <v/>
      </c>
      <c r="D43" s="236"/>
      <c r="E43" s="236" t="str">
        <f ca="1">IF(ISERROR($V43),"",OFFSET('Smelter Look-up'!$D$4,$V43-4,0)&amp;"")</f>
        <v/>
      </c>
      <c r="F43" s="236" t="str">
        <f ca="1">IF(ISERROR($V43),"",OFFSET('Smelter Look-up'!$E$4,$V43-4,0))</f>
        <v/>
      </c>
      <c r="G43" s="236" t="str">
        <f ca="1">IF(C43=$X$4,"Enter smelter details", IF(ISERROR($V43),"",OFFSET('Smelter Look-up'!$F$4,$V43-4,0)))</f>
        <v/>
      </c>
      <c r="H43" s="237" t="str">
        <f ca="1">IF(ISERROR($V43),"",OFFSET('Smelter Look-up'!$G$4,$V43-4,0))</f>
        <v/>
      </c>
      <c r="I43" s="238" t="str">
        <f ca="1">IF(ISERROR($V43),"",OFFSET('Smelter Look-up'!$H$4,$V43-4,0))</f>
        <v/>
      </c>
      <c r="J43" s="238" t="str">
        <f ca="1">IF(ISERROR($V43),"",OFFSET('Smelter Look-up'!$I$4,$V43-4,0))</f>
        <v/>
      </c>
      <c r="K43" s="240"/>
      <c r="L43" s="240"/>
      <c r="M43" s="240"/>
      <c r="N43" s="240"/>
      <c r="O43" s="240"/>
      <c r="P43" s="239"/>
      <c r="Q43" s="241"/>
      <c r="R43" s="236" t="str">
        <f ca="1">IF(ISERROR($V43),"",OFFSET('Smelter Look-up'!$C$4,$V43-4,0)&amp;"")</f>
        <v/>
      </c>
      <c r="S43" s="250" t="str">
        <f t="shared" ca="1" si="0"/>
        <v/>
      </c>
      <c r="T43" s="250" t="str">
        <f ca="1">IF(B43="","",IF(ISERROR(MATCH($J43,SorP!$B$1:$B$6230,0)),"",INDIRECT("'SorP'!$A$"&amp;MATCH($J43,SorP!$B$1:$B$6230,0))))</f>
        <v/>
      </c>
      <c r="U43" s="280"/>
      <c r="V43" s="281" t="e">
        <f>IF(C43="",NA(),MATCH($B43&amp;$C43,'Smelter Look-up'!$J:$J,0))</f>
        <v>#N/A</v>
      </c>
      <c r="W43" s="282"/>
      <c r="X43" s="282">
        <f t="shared" ca="1" si="1"/>
        <v>0</v>
      </c>
      <c r="Y43" s="282"/>
      <c r="Z43" s="282"/>
      <c r="AB43" s="284" t="str">
        <f t="shared" si="2"/>
        <v/>
      </c>
    </row>
    <row r="44" spans="1:28" s="283" customFormat="1" ht="20.25">
      <c r="A44" s="235"/>
      <c r="B44" s="236" t="str">
        <f>IF(LEN(A44)=0,"",INDEX('Smelter Look-up'!$A:$A,MATCH($A44,'Smelter Look-up'!$E:$E,0)))</f>
        <v/>
      </c>
      <c r="C44" s="242" t="str">
        <f>IF(LEN(A44)=0,"",INDEX('Smelter Look-up'!$C:$C,MATCH($A44,'Smelter Look-up'!$E:$E,0)))</f>
        <v/>
      </c>
      <c r="D44" s="236"/>
      <c r="E44" s="236" t="str">
        <f ca="1">IF(ISERROR($V44),"",OFFSET('Smelter Look-up'!$D$4,$V44-4,0)&amp;"")</f>
        <v/>
      </c>
      <c r="F44" s="236" t="str">
        <f ca="1">IF(ISERROR($V44),"",OFFSET('Smelter Look-up'!$E$4,$V44-4,0))</f>
        <v/>
      </c>
      <c r="G44" s="236" t="str">
        <f ca="1">IF(C44=$X$4,"Enter smelter details", IF(ISERROR($V44),"",OFFSET('Smelter Look-up'!$F$4,$V44-4,0)))</f>
        <v/>
      </c>
      <c r="H44" s="237" t="str">
        <f ca="1">IF(ISERROR($V44),"",OFFSET('Smelter Look-up'!$G$4,$V44-4,0))</f>
        <v/>
      </c>
      <c r="I44" s="238" t="str">
        <f ca="1">IF(ISERROR($V44),"",OFFSET('Smelter Look-up'!$H$4,$V44-4,0))</f>
        <v/>
      </c>
      <c r="J44" s="238" t="str">
        <f ca="1">IF(ISERROR($V44),"",OFFSET('Smelter Look-up'!$I$4,$V44-4,0))</f>
        <v/>
      </c>
      <c r="K44" s="240"/>
      <c r="L44" s="240"/>
      <c r="M44" s="240"/>
      <c r="N44" s="240"/>
      <c r="O44" s="240"/>
      <c r="P44" s="239"/>
      <c r="Q44" s="241"/>
      <c r="R44" s="236" t="str">
        <f ca="1">IF(ISERROR($V44),"",OFFSET('Smelter Look-up'!$C$4,$V44-4,0)&amp;"")</f>
        <v/>
      </c>
      <c r="S44" s="250" t="str">
        <f t="shared" ca="1" si="0"/>
        <v/>
      </c>
      <c r="T44" s="250" t="str">
        <f ca="1">IF(B44="","",IF(ISERROR(MATCH($J44,SorP!$B$1:$B$6230,0)),"",INDIRECT("'SorP'!$A$"&amp;MATCH($J44,SorP!$B$1:$B$6230,0))))</f>
        <v/>
      </c>
      <c r="U44" s="280"/>
      <c r="V44" s="281" t="e">
        <f>IF(C44="",NA(),MATCH($B44&amp;$C44,'Smelter Look-up'!$J:$J,0))</f>
        <v>#N/A</v>
      </c>
      <c r="W44" s="282"/>
      <c r="X44" s="282">
        <f t="shared" ca="1" si="1"/>
        <v>0</v>
      </c>
      <c r="Y44" s="282"/>
      <c r="Z44" s="282"/>
      <c r="AB44" s="284" t="str">
        <f t="shared" si="2"/>
        <v/>
      </c>
    </row>
    <row r="45" spans="1:28" s="283" customFormat="1" ht="20.25">
      <c r="A45" s="235"/>
      <c r="B45" s="236" t="str">
        <f>IF(LEN(A45)=0,"",INDEX('Smelter Look-up'!$A:$A,MATCH($A45,'Smelter Look-up'!$E:$E,0)))</f>
        <v/>
      </c>
      <c r="C45" s="242" t="str">
        <f>IF(LEN(A45)=0,"",INDEX('Smelter Look-up'!$C:$C,MATCH($A45,'Smelter Look-up'!$E:$E,0)))</f>
        <v/>
      </c>
      <c r="D45" s="236"/>
      <c r="E45" s="236" t="str">
        <f ca="1">IF(ISERROR($V45),"",OFFSET('Smelter Look-up'!$D$4,$V45-4,0)&amp;"")</f>
        <v/>
      </c>
      <c r="F45" s="236" t="str">
        <f ca="1">IF(ISERROR($V45),"",OFFSET('Smelter Look-up'!$E$4,$V45-4,0))</f>
        <v/>
      </c>
      <c r="G45" s="236" t="str">
        <f ca="1">IF(C45=$X$4,"Enter smelter details", IF(ISERROR($V45),"",OFFSET('Smelter Look-up'!$F$4,$V45-4,0)))</f>
        <v/>
      </c>
      <c r="H45" s="237" t="str">
        <f ca="1">IF(ISERROR($V45),"",OFFSET('Smelter Look-up'!$G$4,$V45-4,0))</f>
        <v/>
      </c>
      <c r="I45" s="238" t="str">
        <f ca="1">IF(ISERROR($V45),"",OFFSET('Smelter Look-up'!$H$4,$V45-4,0))</f>
        <v/>
      </c>
      <c r="J45" s="238" t="str">
        <f ca="1">IF(ISERROR($V45),"",OFFSET('Smelter Look-up'!$I$4,$V45-4,0))</f>
        <v/>
      </c>
      <c r="K45" s="240"/>
      <c r="L45" s="240"/>
      <c r="M45" s="240"/>
      <c r="N45" s="240"/>
      <c r="O45" s="240"/>
      <c r="P45" s="239"/>
      <c r="Q45" s="241"/>
      <c r="R45" s="236" t="str">
        <f ca="1">IF(ISERROR($V45),"",OFFSET('Smelter Look-up'!$C$4,$V45-4,0)&amp;"")</f>
        <v/>
      </c>
      <c r="S45" s="250" t="str">
        <f t="shared" ca="1" si="0"/>
        <v/>
      </c>
      <c r="T45" s="250" t="str">
        <f ca="1">IF(B45="","",IF(ISERROR(MATCH($J45,SorP!$B$1:$B$6230,0)),"",INDIRECT("'SorP'!$A$"&amp;MATCH($J45,SorP!$B$1:$B$6230,0))))</f>
        <v/>
      </c>
      <c r="U45" s="280"/>
      <c r="V45" s="281" t="e">
        <f>IF(C45="",NA(),MATCH($B45&amp;$C45,'Smelter Look-up'!$J:$J,0))</f>
        <v>#N/A</v>
      </c>
      <c r="W45" s="282"/>
      <c r="X45" s="282">
        <f t="shared" ca="1" si="1"/>
        <v>0</v>
      </c>
      <c r="Y45" s="282"/>
      <c r="Z45" s="282"/>
      <c r="AB45" s="284" t="str">
        <f t="shared" si="2"/>
        <v/>
      </c>
    </row>
    <row r="46" spans="1:28" s="283" customFormat="1" ht="20.25">
      <c r="A46" s="235"/>
      <c r="B46" s="236" t="str">
        <f>IF(LEN(A46)=0,"",INDEX('Smelter Look-up'!$A:$A,MATCH($A46,'Smelter Look-up'!$E:$E,0)))</f>
        <v/>
      </c>
      <c r="C46" s="242" t="str">
        <f>IF(LEN(A46)=0,"",INDEX('Smelter Look-up'!$C:$C,MATCH($A46,'Smelter Look-up'!$E:$E,0)))</f>
        <v/>
      </c>
      <c r="D46" s="236"/>
      <c r="E46" s="236" t="str">
        <f ca="1">IF(ISERROR($V46),"",OFFSET('Smelter Look-up'!$D$4,$V46-4,0)&amp;"")</f>
        <v/>
      </c>
      <c r="F46" s="236" t="str">
        <f ca="1">IF(ISERROR($V46),"",OFFSET('Smelter Look-up'!$E$4,$V46-4,0))</f>
        <v/>
      </c>
      <c r="G46" s="236" t="str">
        <f ca="1">IF(C46=$X$4,"Enter smelter details", IF(ISERROR($V46),"",OFFSET('Smelter Look-up'!$F$4,$V46-4,0)))</f>
        <v/>
      </c>
      <c r="H46" s="237" t="str">
        <f ca="1">IF(ISERROR($V46),"",OFFSET('Smelter Look-up'!$G$4,$V46-4,0))</f>
        <v/>
      </c>
      <c r="I46" s="238" t="str">
        <f ca="1">IF(ISERROR($V46),"",OFFSET('Smelter Look-up'!$H$4,$V46-4,0))</f>
        <v/>
      </c>
      <c r="J46" s="238" t="str">
        <f ca="1">IF(ISERROR($V46),"",OFFSET('Smelter Look-up'!$I$4,$V46-4,0))</f>
        <v/>
      </c>
      <c r="K46" s="240"/>
      <c r="L46" s="240"/>
      <c r="M46" s="240"/>
      <c r="N46" s="240"/>
      <c r="O46" s="240"/>
      <c r="P46" s="239"/>
      <c r="Q46" s="241"/>
      <c r="R46" s="236" t="str">
        <f ca="1">IF(ISERROR($V46),"",OFFSET('Smelter Look-up'!$C$4,$V46-4,0)&amp;"")</f>
        <v/>
      </c>
      <c r="S46" s="250" t="str">
        <f t="shared" ca="1" si="0"/>
        <v/>
      </c>
      <c r="T46" s="250" t="str">
        <f ca="1">IF(B46="","",IF(ISERROR(MATCH($J46,SorP!$B$1:$B$6230,0)),"",INDIRECT("'SorP'!$A$"&amp;MATCH($J46,SorP!$B$1:$B$6230,0))))</f>
        <v/>
      </c>
      <c r="U46" s="280"/>
      <c r="V46" s="281" t="e">
        <f>IF(C46="",NA(),MATCH($B46&amp;$C46,'Smelter Look-up'!$J:$J,0))</f>
        <v>#N/A</v>
      </c>
      <c r="W46" s="282"/>
      <c r="X46" s="282">
        <f t="shared" ca="1" si="1"/>
        <v>0</v>
      </c>
      <c r="Y46" s="282"/>
      <c r="Z46" s="282"/>
      <c r="AB46" s="284" t="str">
        <f t="shared" si="2"/>
        <v/>
      </c>
    </row>
    <row r="47" spans="1:28" s="283" customFormat="1" ht="20.25">
      <c r="A47" s="235"/>
      <c r="B47" s="236" t="str">
        <f>IF(LEN(A47)=0,"",INDEX('Smelter Look-up'!$A:$A,MATCH($A47,'Smelter Look-up'!$E:$E,0)))</f>
        <v/>
      </c>
      <c r="C47" s="242" t="str">
        <f>IF(LEN(A47)=0,"",INDEX('Smelter Look-up'!$C:$C,MATCH($A47,'Smelter Look-up'!$E:$E,0)))</f>
        <v/>
      </c>
      <c r="D47" s="236"/>
      <c r="E47" s="236" t="str">
        <f ca="1">IF(ISERROR($V47),"",OFFSET('Smelter Look-up'!$D$4,$V47-4,0)&amp;"")</f>
        <v/>
      </c>
      <c r="F47" s="236" t="str">
        <f ca="1">IF(ISERROR($V47),"",OFFSET('Smelter Look-up'!$E$4,$V47-4,0))</f>
        <v/>
      </c>
      <c r="G47" s="236" t="str">
        <f ca="1">IF(C47=$X$4,"Enter smelter details", IF(ISERROR($V47),"",OFFSET('Smelter Look-up'!$F$4,$V47-4,0)))</f>
        <v/>
      </c>
      <c r="H47" s="237" t="str">
        <f ca="1">IF(ISERROR($V47),"",OFFSET('Smelter Look-up'!$G$4,$V47-4,0))</f>
        <v/>
      </c>
      <c r="I47" s="238" t="str">
        <f ca="1">IF(ISERROR($V47),"",OFFSET('Smelter Look-up'!$H$4,$V47-4,0))</f>
        <v/>
      </c>
      <c r="J47" s="238" t="str">
        <f ca="1">IF(ISERROR($V47),"",OFFSET('Smelter Look-up'!$I$4,$V47-4,0))</f>
        <v/>
      </c>
      <c r="K47" s="240"/>
      <c r="L47" s="240"/>
      <c r="M47" s="240"/>
      <c r="N47" s="240"/>
      <c r="O47" s="240"/>
      <c r="P47" s="239"/>
      <c r="Q47" s="241"/>
      <c r="R47" s="236" t="str">
        <f ca="1">IF(ISERROR($V47),"",OFFSET('Smelter Look-up'!$C$4,$V47-4,0)&amp;"")</f>
        <v/>
      </c>
      <c r="S47" s="250" t="str">
        <f t="shared" ca="1" si="0"/>
        <v/>
      </c>
      <c r="T47" s="250" t="str">
        <f ca="1">IF(B47="","",IF(ISERROR(MATCH($J47,SorP!$B$1:$B$6230,0)),"",INDIRECT("'SorP'!$A$"&amp;MATCH($J47,SorP!$B$1:$B$6230,0))))</f>
        <v/>
      </c>
      <c r="U47" s="280"/>
      <c r="V47" s="281" t="e">
        <f>IF(C47="",NA(),MATCH($B47&amp;$C47,'Smelter Look-up'!$J:$J,0))</f>
        <v>#N/A</v>
      </c>
      <c r="W47" s="282"/>
      <c r="X47" s="282">
        <f t="shared" ca="1" si="1"/>
        <v>0</v>
      </c>
      <c r="Y47" s="282"/>
      <c r="Z47" s="282"/>
      <c r="AB47" s="284" t="str">
        <f t="shared" si="2"/>
        <v/>
      </c>
    </row>
    <row r="48" spans="1:28" s="283" customFormat="1" ht="20.25">
      <c r="A48" s="235"/>
      <c r="B48" s="236" t="str">
        <f>IF(LEN(A48)=0,"",INDEX('Smelter Look-up'!$A:$A,MATCH($A48,'Smelter Look-up'!$E:$E,0)))</f>
        <v/>
      </c>
      <c r="C48" s="242" t="str">
        <f>IF(LEN(A48)=0,"",INDEX('Smelter Look-up'!$C:$C,MATCH($A48,'Smelter Look-up'!$E:$E,0)))</f>
        <v/>
      </c>
      <c r="D48" s="236"/>
      <c r="E48" s="236" t="str">
        <f ca="1">IF(ISERROR($V48),"",OFFSET('Smelter Look-up'!$D$4,$V48-4,0)&amp;"")</f>
        <v/>
      </c>
      <c r="F48" s="236" t="str">
        <f ca="1">IF(ISERROR($V48),"",OFFSET('Smelter Look-up'!$E$4,$V48-4,0))</f>
        <v/>
      </c>
      <c r="G48" s="236" t="str">
        <f ca="1">IF(C48=$X$4,"Enter smelter details", IF(ISERROR($V48),"",OFFSET('Smelter Look-up'!$F$4,$V48-4,0)))</f>
        <v/>
      </c>
      <c r="H48" s="237" t="str">
        <f ca="1">IF(ISERROR($V48),"",OFFSET('Smelter Look-up'!$G$4,$V48-4,0))</f>
        <v/>
      </c>
      <c r="I48" s="238" t="str">
        <f ca="1">IF(ISERROR($V48),"",OFFSET('Smelter Look-up'!$H$4,$V48-4,0))</f>
        <v/>
      </c>
      <c r="J48" s="238" t="str">
        <f ca="1">IF(ISERROR($V48),"",OFFSET('Smelter Look-up'!$I$4,$V48-4,0))</f>
        <v/>
      </c>
      <c r="K48" s="240"/>
      <c r="L48" s="240"/>
      <c r="M48" s="240"/>
      <c r="N48" s="240"/>
      <c r="O48" s="240"/>
      <c r="P48" s="239"/>
      <c r="Q48" s="241"/>
      <c r="R48" s="236" t="str">
        <f ca="1">IF(ISERROR($V48),"",OFFSET('Smelter Look-up'!$C$4,$V48-4,0)&amp;"")</f>
        <v/>
      </c>
      <c r="S48" s="250" t="str">
        <f t="shared" ca="1" si="0"/>
        <v/>
      </c>
      <c r="T48" s="250" t="str">
        <f ca="1">IF(B48="","",IF(ISERROR(MATCH($J48,SorP!$B$1:$B$6230,0)),"",INDIRECT("'SorP'!$A$"&amp;MATCH($J48,SorP!$B$1:$B$6230,0))))</f>
        <v/>
      </c>
      <c r="U48" s="280"/>
      <c r="V48" s="281" t="e">
        <f>IF(C48="",NA(),MATCH($B48&amp;$C48,'Smelter Look-up'!$J:$J,0))</f>
        <v>#N/A</v>
      </c>
      <c r="W48" s="282"/>
      <c r="X48" s="282">
        <f t="shared" ca="1" si="1"/>
        <v>0</v>
      </c>
      <c r="Y48" s="282"/>
      <c r="Z48" s="282"/>
      <c r="AB48" s="284" t="str">
        <f t="shared" si="2"/>
        <v/>
      </c>
    </row>
    <row r="49" spans="1:28" s="283" customFormat="1" ht="20.25">
      <c r="A49" s="235"/>
      <c r="B49" s="236" t="str">
        <f>IF(LEN(A49)=0,"",INDEX('Smelter Look-up'!$A:$A,MATCH($A49,'Smelter Look-up'!$E:$E,0)))</f>
        <v/>
      </c>
      <c r="C49" s="242" t="str">
        <f>IF(LEN(A49)=0,"",INDEX('Smelter Look-up'!$C:$C,MATCH($A49,'Smelter Look-up'!$E:$E,0)))</f>
        <v/>
      </c>
      <c r="D49" s="236"/>
      <c r="E49" s="236" t="str">
        <f ca="1">IF(ISERROR($V49),"",OFFSET('Smelter Look-up'!$D$4,$V49-4,0)&amp;"")</f>
        <v/>
      </c>
      <c r="F49" s="236" t="str">
        <f ca="1">IF(ISERROR($V49),"",OFFSET('Smelter Look-up'!$E$4,$V49-4,0))</f>
        <v/>
      </c>
      <c r="G49" s="236" t="str">
        <f ca="1">IF(C49=$X$4,"Enter smelter details", IF(ISERROR($V49),"",OFFSET('Smelter Look-up'!$F$4,$V49-4,0)))</f>
        <v/>
      </c>
      <c r="H49" s="237" t="str">
        <f ca="1">IF(ISERROR($V49),"",OFFSET('Smelter Look-up'!$G$4,$V49-4,0))</f>
        <v/>
      </c>
      <c r="I49" s="238" t="str">
        <f ca="1">IF(ISERROR($V49),"",OFFSET('Smelter Look-up'!$H$4,$V49-4,0))</f>
        <v/>
      </c>
      <c r="J49" s="238" t="str">
        <f ca="1">IF(ISERROR($V49),"",OFFSET('Smelter Look-up'!$I$4,$V49-4,0))</f>
        <v/>
      </c>
      <c r="K49" s="240"/>
      <c r="L49" s="240"/>
      <c r="M49" s="240"/>
      <c r="N49" s="240"/>
      <c r="O49" s="240"/>
      <c r="P49" s="239"/>
      <c r="Q49" s="241"/>
      <c r="R49" s="236" t="str">
        <f ca="1">IF(ISERROR($V49),"",OFFSET('Smelter Look-up'!$C$4,$V49-4,0)&amp;"")</f>
        <v/>
      </c>
      <c r="S49" s="250" t="str">
        <f t="shared" ca="1" si="0"/>
        <v/>
      </c>
      <c r="T49" s="250" t="str">
        <f ca="1">IF(B49="","",IF(ISERROR(MATCH($J49,SorP!$B$1:$B$6230,0)),"",INDIRECT("'SorP'!$A$"&amp;MATCH($J49,SorP!$B$1:$B$6230,0))))</f>
        <v/>
      </c>
      <c r="U49" s="280"/>
      <c r="V49" s="281" t="e">
        <f>IF(C49="",NA(),MATCH($B49&amp;$C49,'Smelter Look-up'!$J:$J,0))</f>
        <v>#N/A</v>
      </c>
      <c r="W49" s="282"/>
      <c r="X49" s="282">
        <f t="shared" ca="1" si="1"/>
        <v>0</v>
      </c>
      <c r="Y49" s="282"/>
      <c r="Z49" s="282"/>
      <c r="AB49" s="284" t="str">
        <f t="shared" si="2"/>
        <v/>
      </c>
    </row>
    <row r="50" spans="1:28" s="283" customFormat="1" ht="20.25">
      <c r="A50" s="235"/>
      <c r="B50" s="236" t="str">
        <f>IF(LEN(A50)=0,"",INDEX('Smelter Look-up'!$A:$A,MATCH($A50,'Smelter Look-up'!$E:$E,0)))</f>
        <v/>
      </c>
      <c r="C50" s="242" t="str">
        <f>IF(LEN(A50)=0,"",INDEX('Smelter Look-up'!$C:$C,MATCH($A50,'Smelter Look-up'!$E:$E,0)))</f>
        <v/>
      </c>
      <c r="D50" s="236"/>
      <c r="E50" s="236" t="str">
        <f ca="1">IF(ISERROR($V50),"",OFFSET('Smelter Look-up'!$D$4,$V50-4,0)&amp;"")</f>
        <v/>
      </c>
      <c r="F50" s="236" t="str">
        <f ca="1">IF(ISERROR($V50),"",OFFSET('Smelter Look-up'!$E$4,$V50-4,0))</f>
        <v/>
      </c>
      <c r="G50" s="236" t="str">
        <f ca="1">IF(C50=$X$4,"Enter smelter details", IF(ISERROR($V50),"",OFFSET('Smelter Look-up'!$F$4,$V50-4,0)))</f>
        <v/>
      </c>
      <c r="H50" s="237" t="str">
        <f ca="1">IF(ISERROR($V50),"",OFFSET('Smelter Look-up'!$G$4,$V50-4,0))</f>
        <v/>
      </c>
      <c r="I50" s="238" t="str">
        <f ca="1">IF(ISERROR($V50),"",OFFSET('Smelter Look-up'!$H$4,$V50-4,0))</f>
        <v/>
      </c>
      <c r="J50" s="238" t="str">
        <f ca="1">IF(ISERROR($V50),"",OFFSET('Smelter Look-up'!$I$4,$V50-4,0))</f>
        <v/>
      </c>
      <c r="K50" s="240"/>
      <c r="L50" s="240"/>
      <c r="M50" s="240"/>
      <c r="N50" s="240"/>
      <c r="O50" s="240"/>
      <c r="P50" s="239"/>
      <c r="Q50" s="241"/>
      <c r="R50" s="236" t="str">
        <f ca="1">IF(ISERROR($V50),"",OFFSET('Smelter Look-up'!$C$4,$V50-4,0)&amp;"")</f>
        <v/>
      </c>
      <c r="S50" s="250" t="str">
        <f t="shared" ca="1" si="0"/>
        <v/>
      </c>
      <c r="T50" s="250" t="str">
        <f ca="1">IF(B50="","",IF(ISERROR(MATCH($J50,SorP!$B$1:$B$6230,0)),"",INDIRECT("'SorP'!$A$"&amp;MATCH($J50,SorP!$B$1:$B$6230,0))))</f>
        <v/>
      </c>
      <c r="U50" s="280"/>
      <c r="V50" s="281" t="e">
        <f>IF(C50="",NA(),MATCH($B50&amp;$C50,'Smelter Look-up'!$J:$J,0))</f>
        <v>#N/A</v>
      </c>
      <c r="W50" s="282"/>
      <c r="X50" s="282">
        <f t="shared" ca="1" si="1"/>
        <v>0</v>
      </c>
      <c r="Y50" s="282"/>
      <c r="Z50" s="282"/>
      <c r="AB50" s="284" t="str">
        <f t="shared" si="2"/>
        <v/>
      </c>
    </row>
    <row r="51" spans="1:28" s="283" customFormat="1" ht="20.25">
      <c r="A51" s="235"/>
      <c r="B51" s="236" t="str">
        <f>IF(LEN(A51)=0,"",INDEX('Smelter Look-up'!$A:$A,MATCH($A51,'Smelter Look-up'!$E:$E,0)))</f>
        <v/>
      </c>
      <c r="C51" s="242" t="str">
        <f>IF(LEN(A51)=0,"",INDEX('Smelter Look-up'!$C:$C,MATCH($A51,'Smelter Look-up'!$E:$E,0)))</f>
        <v/>
      </c>
      <c r="D51" s="236"/>
      <c r="E51" s="236" t="str">
        <f ca="1">IF(ISERROR($V51),"",OFFSET('Smelter Look-up'!$D$4,$V51-4,0)&amp;"")</f>
        <v/>
      </c>
      <c r="F51" s="236" t="str">
        <f ca="1">IF(ISERROR($V51),"",OFFSET('Smelter Look-up'!$E$4,$V51-4,0))</f>
        <v/>
      </c>
      <c r="G51" s="236" t="str">
        <f ca="1">IF(C51=$X$4,"Enter smelter details", IF(ISERROR($V51),"",OFFSET('Smelter Look-up'!$F$4,$V51-4,0)))</f>
        <v/>
      </c>
      <c r="H51" s="237" t="str">
        <f ca="1">IF(ISERROR($V51),"",OFFSET('Smelter Look-up'!$G$4,$V51-4,0))</f>
        <v/>
      </c>
      <c r="I51" s="238" t="str">
        <f ca="1">IF(ISERROR($V51),"",OFFSET('Smelter Look-up'!$H$4,$V51-4,0))</f>
        <v/>
      </c>
      <c r="J51" s="238" t="str">
        <f ca="1">IF(ISERROR($V51),"",OFFSET('Smelter Look-up'!$I$4,$V51-4,0))</f>
        <v/>
      </c>
      <c r="K51" s="240"/>
      <c r="L51" s="240"/>
      <c r="M51" s="240"/>
      <c r="N51" s="240"/>
      <c r="O51" s="240"/>
      <c r="P51" s="239"/>
      <c r="Q51" s="241"/>
      <c r="R51" s="236" t="str">
        <f ca="1">IF(ISERROR($V51),"",OFFSET('Smelter Look-up'!$C$4,$V51-4,0)&amp;"")</f>
        <v/>
      </c>
      <c r="S51" s="250" t="str">
        <f t="shared" ca="1" si="0"/>
        <v/>
      </c>
      <c r="T51" s="250" t="str">
        <f ca="1">IF(B51="","",IF(ISERROR(MATCH($J51,SorP!$B$1:$B$6230,0)),"",INDIRECT("'SorP'!$A$"&amp;MATCH($J51,SorP!$B$1:$B$6230,0))))</f>
        <v/>
      </c>
      <c r="U51" s="280"/>
      <c r="V51" s="281" t="e">
        <f>IF(C51="",NA(),MATCH($B51&amp;$C51,'Smelter Look-up'!$J:$J,0))</f>
        <v>#N/A</v>
      </c>
      <c r="W51" s="282"/>
      <c r="X51" s="282">
        <f t="shared" ca="1" si="1"/>
        <v>0</v>
      </c>
      <c r="Y51" s="282"/>
      <c r="Z51" s="282"/>
      <c r="AB51" s="284" t="str">
        <f t="shared" si="2"/>
        <v/>
      </c>
    </row>
    <row r="52" spans="1:28" s="283" customFormat="1" ht="20.25">
      <c r="A52" s="235"/>
      <c r="B52" s="236" t="str">
        <f>IF(LEN(A52)=0,"",INDEX('Smelter Look-up'!$A:$A,MATCH($A52,'Smelter Look-up'!$E:$E,0)))</f>
        <v/>
      </c>
      <c r="C52" s="242" t="str">
        <f>IF(LEN(A52)=0,"",INDEX('Smelter Look-up'!$C:$C,MATCH($A52,'Smelter Look-up'!$E:$E,0)))</f>
        <v/>
      </c>
      <c r="D52" s="236"/>
      <c r="E52" s="236" t="str">
        <f ca="1">IF(ISERROR($V52),"",OFFSET('Smelter Look-up'!$D$4,$V52-4,0)&amp;"")</f>
        <v/>
      </c>
      <c r="F52" s="236" t="str">
        <f ca="1">IF(ISERROR($V52),"",OFFSET('Smelter Look-up'!$E$4,$V52-4,0))</f>
        <v/>
      </c>
      <c r="G52" s="236" t="str">
        <f ca="1">IF(C52=$X$4,"Enter smelter details", IF(ISERROR($V52),"",OFFSET('Smelter Look-up'!$F$4,$V52-4,0)))</f>
        <v/>
      </c>
      <c r="H52" s="237" t="str">
        <f ca="1">IF(ISERROR($V52),"",OFFSET('Smelter Look-up'!$G$4,$V52-4,0))</f>
        <v/>
      </c>
      <c r="I52" s="238" t="str">
        <f ca="1">IF(ISERROR($V52),"",OFFSET('Smelter Look-up'!$H$4,$V52-4,0))</f>
        <v/>
      </c>
      <c r="J52" s="238" t="str">
        <f ca="1">IF(ISERROR($V52),"",OFFSET('Smelter Look-up'!$I$4,$V52-4,0))</f>
        <v/>
      </c>
      <c r="K52" s="240"/>
      <c r="L52" s="240"/>
      <c r="M52" s="240"/>
      <c r="N52" s="240"/>
      <c r="O52" s="240"/>
      <c r="P52" s="239"/>
      <c r="Q52" s="241"/>
      <c r="R52" s="236" t="str">
        <f ca="1">IF(ISERROR($V52),"",OFFSET('Smelter Look-up'!$C$4,$V52-4,0)&amp;"")</f>
        <v/>
      </c>
      <c r="S52" s="250" t="str">
        <f t="shared" ca="1" si="0"/>
        <v/>
      </c>
      <c r="T52" s="250" t="str">
        <f ca="1">IF(B52="","",IF(ISERROR(MATCH($J52,SorP!$B$1:$B$6230,0)),"",INDIRECT("'SorP'!$A$"&amp;MATCH($J52,SorP!$B$1:$B$6230,0))))</f>
        <v/>
      </c>
      <c r="U52" s="280"/>
      <c r="V52" s="281" t="e">
        <f>IF(C52="",NA(),MATCH($B52&amp;$C52,'Smelter Look-up'!$J:$J,0))</f>
        <v>#N/A</v>
      </c>
      <c r="W52" s="282"/>
      <c r="X52" s="282">
        <f t="shared" ca="1" si="1"/>
        <v>0</v>
      </c>
      <c r="Y52" s="282"/>
      <c r="Z52" s="282"/>
      <c r="AB52" s="284" t="str">
        <f t="shared" si="2"/>
        <v/>
      </c>
    </row>
    <row r="53" spans="1:28" s="283" customFormat="1" ht="20.25">
      <c r="A53" s="235"/>
      <c r="B53" s="236" t="str">
        <f>IF(LEN(A53)=0,"",INDEX('Smelter Look-up'!$A:$A,MATCH($A53,'Smelter Look-up'!$E:$E,0)))</f>
        <v/>
      </c>
      <c r="C53" s="242" t="str">
        <f>IF(LEN(A53)=0,"",INDEX('Smelter Look-up'!$C:$C,MATCH($A53,'Smelter Look-up'!$E:$E,0)))</f>
        <v/>
      </c>
      <c r="D53" s="236"/>
      <c r="E53" s="236" t="str">
        <f ca="1">IF(ISERROR($V53),"",OFFSET('Smelter Look-up'!$D$4,$V53-4,0)&amp;"")</f>
        <v/>
      </c>
      <c r="F53" s="236" t="str">
        <f ca="1">IF(ISERROR($V53),"",OFFSET('Smelter Look-up'!$E$4,$V53-4,0))</f>
        <v/>
      </c>
      <c r="G53" s="236" t="str">
        <f ca="1">IF(C53=$X$4,"Enter smelter details", IF(ISERROR($V53),"",OFFSET('Smelter Look-up'!$F$4,$V53-4,0)))</f>
        <v/>
      </c>
      <c r="H53" s="237" t="str">
        <f ca="1">IF(ISERROR($V53),"",OFFSET('Smelter Look-up'!$G$4,$V53-4,0))</f>
        <v/>
      </c>
      <c r="I53" s="238" t="str">
        <f ca="1">IF(ISERROR($V53),"",OFFSET('Smelter Look-up'!$H$4,$V53-4,0))</f>
        <v/>
      </c>
      <c r="J53" s="238" t="str">
        <f ca="1">IF(ISERROR($V53),"",OFFSET('Smelter Look-up'!$I$4,$V53-4,0))</f>
        <v/>
      </c>
      <c r="K53" s="240"/>
      <c r="L53" s="240"/>
      <c r="M53" s="240"/>
      <c r="N53" s="240"/>
      <c r="O53" s="240"/>
      <c r="P53" s="239"/>
      <c r="Q53" s="241"/>
      <c r="R53" s="236" t="str">
        <f ca="1">IF(ISERROR($V53),"",OFFSET('Smelter Look-up'!$C$4,$V53-4,0)&amp;"")</f>
        <v/>
      </c>
      <c r="S53" s="250" t="str">
        <f t="shared" ca="1" si="0"/>
        <v/>
      </c>
      <c r="T53" s="250" t="str">
        <f ca="1">IF(B53="","",IF(ISERROR(MATCH($J53,SorP!$B$1:$B$6230,0)),"",INDIRECT("'SorP'!$A$"&amp;MATCH($J53,SorP!$B$1:$B$6230,0))))</f>
        <v/>
      </c>
      <c r="U53" s="280"/>
      <c r="V53" s="281" t="e">
        <f>IF(C53="",NA(),MATCH($B53&amp;$C53,'Smelter Look-up'!$J:$J,0))</f>
        <v>#N/A</v>
      </c>
      <c r="W53" s="282"/>
      <c r="X53" s="282">
        <f t="shared" ca="1" si="1"/>
        <v>0</v>
      </c>
      <c r="Y53" s="282"/>
      <c r="Z53" s="282"/>
      <c r="AB53" s="284" t="str">
        <f t="shared" si="2"/>
        <v/>
      </c>
    </row>
    <row r="54" spans="1:28" s="283" customFormat="1" ht="20.25">
      <c r="A54" s="235"/>
      <c r="B54" s="236" t="str">
        <f>IF(LEN(A54)=0,"",INDEX('Smelter Look-up'!$A:$A,MATCH($A54,'Smelter Look-up'!$E:$E,0)))</f>
        <v/>
      </c>
      <c r="C54" s="242" t="str">
        <f>IF(LEN(A54)=0,"",INDEX('Smelter Look-up'!$C:$C,MATCH($A54,'Smelter Look-up'!$E:$E,0)))</f>
        <v/>
      </c>
      <c r="D54" s="236"/>
      <c r="E54" s="236" t="str">
        <f ca="1">IF(ISERROR($V54),"",OFFSET('Smelter Look-up'!$D$4,$V54-4,0)&amp;"")</f>
        <v/>
      </c>
      <c r="F54" s="236" t="str">
        <f ca="1">IF(ISERROR($V54),"",OFFSET('Smelter Look-up'!$E$4,$V54-4,0))</f>
        <v/>
      </c>
      <c r="G54" s="236" t="str">
        <f ca="1">IF(C54=$X$4,"Enter smelter details", IF(ISERROR($V54),"",OFFSET('Smelter Look-up'!$F$4,$V54-4,0)))</f>
        <v/>
      </c>
      <c r="H54" s="237" t="str">
        <f ca="1">IF(ISERROR($V54),"",OFFSET('Smelter Look-up'!$G$4,$V54-4,0))</f>
        <v/>
      </c>
      <c r="I54" s="238" t="str">
        <f ca="1">IF(ISERROR($V54),"",OFFSET('Smelter Look-up'!$H$4,$V54-4,0))</f>
        <v/>
      </c>
      <c r="J54" s="238" t="str">
        <f ca="1">IF(ISERROR($V54),"",OFFSET('Smelter Look-up'!$I$4,$V54-4,0))</f>
        <v/>
      </c>
      <c r="K54" s="240"/>
      <c r="L54" s="240"/>
      <c r="M54" s="240"/>
      <c r="N54" s="240"/>
      <c r="O54" s="240"/>
      <c r="P54" s="239"/>
      <c r="Q54" s="241"/>
      <c r="R54" s="236" t="str">
        <f ca="1">IF(ISERROR($V54),"",OFFSET('Smelter Look-up'!$C$4,$V54-4,0)&amp;"")</f>
        <v/>
      </c>
      <c r="S54" s="250" t="str">
        <f t="shared" ca="1" si="0"/>
        <v/>
      </c>
      <c r="T54" s="250" t="str">
        <f ca="1">IF(B54="","",IF(ISERROR(MATCH($J54,SorP!$B$1:$B$6230,0)),"",INDIRECT("'SorP'!$A$"&amp;MATCH($J54,SorP!$B$1:$B$6230,0))))</f>
        <v/>
      </c>
      <c r="U54" s="280"/>
      <c r="V54" s="281" t="e">
        <f>IF(C54="",NA(),MATCH($B54&amp;$C54,'Smelter Look-up'!$J:$J,0))</f>
        <v>#N/A</v>
      </c>
      <c r="W54" s="282"/>
      <c r="X54" s="282">
        <f t="shared" ca="1" si="1"/>
        <v>0</v>
      </c>
      <c r="Y54" s="282"/>
      <c r="Z54" s="282"/>
      <c r="AB54" s="284" t="str">
        <f t="shared" si="2"/>
        <v/>
      </c>
    </row>
    <row r="55" spans="1:28" s="283" customFormat="1" ht="20.25">
      <c r="A55" s="235"/>
      <c r="B55" s="236" t="str">
        <f>IF(LEN(A55)=0,"",INDEX('Smelter Look-up'!$A:$A,MATCH($A55,'Smelter Look-up'!$E:$E,0)))</f>
        <v/>
      </c>
      <c r="C55" s="242" t="str">
        <f>IF(LEN(A55)=0,"",INDEX('Smelter Look-up'!$C:$C,MATCH($A55,'Smelter Look-up'!$E:$E,0)))</f>
        <v/>
      </c>
      <c r="D55" s="236"/>
      <c r="E55" s="236" t="str">
        <f ca="1">IF(ISERROR($V55),"",OFFSET('Smelter Look-up'!$D$4,$V55-4,0)&amp;"")</f>
        <v/>
      </c>
      <c r="F55" s="236" t="str">
        <f ca="1">IF(ISERROR($V55),"",OFFSET('Smelter Look-up'!$E$4,$V55-4,0))</f>
        <v/>
      </c>
      <c r="G55" s="236" t="str">
        <f ca="1">IF(C55=$X$4,"Enter smelter details", IF(ISERROR($V55),"",OFFSET('Smelter Look-up'!$F$4,$V55-4,0)))</f>
        <v/>
      </c>
      <c r="H55" s="237" t="str">
        <f ca="1">IF(ISERROR($V55),"",OFFSET('Smelter Look-up'!$G$4,$V55-4,0))</f>
        <v/>
      </c>
      <c r="I55" s="238" t="str">
        <f ca="1">IF(ISERROR($V55),"",OFFSET('Smelter Look-up'!$H$4,$V55-4,0))</f>
        <v/>
      </c>
      <c r="J55" s="238" t="str">
        <f ca="1">IF(ISERROR($V55),"",OFFSET('Smelter Look-up'!$I$4,$V55-4,0))</f>
        <v/>
      </c>
      <c r="K55" s="240"/>
      <c r="L55" s="240"/>
      <c r="M55" s="240"/>
      <c r="N55" s="240"/>
      <c r="O55" s="240"/>
      <c r="P55" s="239"/>
      <c r="Q55" s="241"/>
      <c r="R55" s="236" t="str">
        <f ca="1">IF(ISERROR($V55),"",OFFSET('Smelter Look-up'!$C$4,$V55-4,0)&amp;"")</f>
        <v/>
      </c>
      <c r="S55" s="250" t="str">
        <f t="shared" ca="1" si="0"/>
        <v/>
      </c>
      <c r="T55" s="250" t="str">
        <f ca="1">IF(B55="","",IF(ISERROR(MATCH($J55,SorP!$B$1:$B$6230,0)),"",INDIRECT("'SorP'!$A$"&amp;MATCH($J55,SorP!$B$1:$B$6230,0))))</f>
        <v/>
      </c>
      <c r="U55" s="280"/>
      <c r="V55" s="281" t="e">
        <f>IF(C55="",NA(),MATCH($B55&amp;$C55,'Smelter Look-up'!$J:$J,0))</f>
        <v>#N/A</v>
      </c>
      <c r="W55" s="282"/>
      <c r="X55" s="282">
        <f t="shared" ca="1" si="1"/>
        <v>0</v>
      </c>
      <c r="Y55" s="282"/>
      <c r="Z55" s="282"/>
      <c r="AB55" s="284" t="str">
        <f t="shared" si="2"/>
        <v/>
      </c>
    </row>
    <row r="56" spans="1:28" s="283" customFormat="1" ht="20.25">
      <c r="A56" s="235"/>
      <c r="B56" s="236" t="str">
        <f>IF(LEN(A56)=0,"",INDEX('Smelter Look-up'!$A:$A,MATCH($A56,'Smelter Look-up'!$E:$E,0)))</f>
        <v/>
      </c>
      <c r="C56" s="242" t="str">
        <f>IF(LEN(A56)=0,"",INDEX('Smelter Look-up'!$C:$C,MATCH($A56,'Smelter Look-up'!$E:$E,0)))</f>
        <v/>
      </c>
      <c r="D56" s="236"/>
      <c r="E56" s="236" t="str">
        <f ca="1">IF(ISERROR($V56),"",OFFSET('Smelter Look-up'!$D$4,$V56-4,0)&amp;"")</f>
        <v/>
      </c>
      <c r="F56" s="236" t="str">
        <f ca="1">IF(ISERROR($V56),"",OFFSET('Smelter Look-up'!$E$4,$V56-4,0))</f>
        <v/>
      </c>
      <c r="G56" s="236" t="str">
        <f ca="1">IF(C56=$X$4,"Enter smelter details", IF(ISERROR($V56),"",OFFSET('Smelter Look-up'!$F$4,$V56-4,0)))</f>
        <v/>
      </c>
      <c r="H56" s="237" t="str">
        <f ca="1">IF(ISERROR($V56),"",OFFSET('Smelter Look-up'!$G$4,$V56-4,0))</f>
        <v/>
      </c>
      <c r="I56" s="238" t="str">
        <f ca="1">IF(ISERROR($V56),"",OFFSET('Smelter Look-up'!$H$4,$V56-4,0))</f>
        <v/>
      </c>
      <c r="J56" s="238" t="str">
        <f ca="1">IF(ISERROR($V56),"",OFFSET('Smelter Look-up'!$I$4,$V56-4,0))</f>
        <v/>
      </c>
      <c r="K56" s="240"/>
      <c r="L56" s="240"/>
      <c r="M56" s="240"/>
      <c r="N56" s="240"/>
      <c r="O56" s="240"/>
      <c r="P56" s="239"/>
      <c r="Q56" s="241"/>
      <c r="R56" s="236" t="str">
        <f ca="1">IF(ISERROR($V56),"",OFFSET('Smelter Look-up'!$C$4,$V56-4,0)&amp;"")</f>
        <v/>
      </c>
      <c r="S56" s="250" t="str">
        <f t="shared" ca="1" si="0"/>
        <v/>
      </c>
      <c r="T56" s="250" t="str">
        <f ca="1">IF(B56="","",IF(ISERROR(MATCH($J56,SorP!$B$1:$B$6230,0)),"",INDIRECT("'SorP'!$A$"&amp;MATCH($J56,SorP!$B$1:$B$6230,0))))</f>
        <v/>
      </c>
      <c r="U56" s="280"/>
      <c r="V56" s="281" t="e">
        <f>IF(C56="",NA(),MATCH($B56&amp;$C56,'Smelter Look-up'!$J:$J,0))</f>
        <v>#N/A</v>
      </c>
      <c r="W56" s="282"/>
      <c r="X56" s="282">
        <f t="shared" ca="1" si="1"/>
        <v>0</v>
      </c>
      <c r="Y56" s="282"/>
      <c r="Z56" s="282"/>
      <c r="AB56" s="284" t="str">
        <f t="shared" si="2"/>
        <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52"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7" t="str">
        <f ca="1">OFFSET(L!$C$1,MATCH("Checker"&amp;ADDRESS(ROW(),COLUMN(),4),L!$A:$A,0)-1,SL,,)</f>
        <v>To ensure all required fields have been populated before submitting to your customers review form for any line items highlighted in red</v>
      </c>
      <c r="B1" s="437"/>
      <c r="C1" s="437"/>
      <c r="D1" s="151" t="str">
        <f ca="1">OFFSET(L!$C$1,MATCH("Checker"&amp;ADDRESS(ROW(),COLUMN(),4),L!$A:$A,0)-1,SL,,)</f>
        <v>Required fields remaining to be completed</v>
      </c>
      <c r="E1" s="88" t="s">
        <v>929</v>
      </c>
    </row>
    <row r="2" spans="1:10" ht="15">
      <c r="A2" s="81" t="s">
        <v>1026</v>
      </c>
      <c r="B2" s="82" t="str">
        <f>IF(F62=1,"Click here to return to Smelter List","")</f>
        <v/>
      </c>
      <c r="C2" s="155" t="str">
        <f>IF(F61=1,"Click here to return to Product List","")</f>
        <v/>
      </c>
      <c r="D2" s="193">
        <f ca="1">IF(H67=0,"0",H67)</f>
        <v>1</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RFuW Engineering subsidiary of Wei Bo Associates HK Ltd.</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Description of Scope:</v>
      </c>
      <c r="B6" s="106" t="str">
        <f>Declaration!D10</f>
        <v>Design , develop and produce high power RF switches and limiters</v>
      </c>
      <c r="C6" s="106" t="str">
        <f t="shared" ca="1" si="0"/>
        <v>Complete</v>
      </c>
      <c r="D6" s="112" t="str">
        <f>IF(H6=1,"Click here to provide a Description of Scope","")</f>
        <v/>
      </c>
      <c r="E6" s="88" t="s">
        <v>1452</v>
      </c>
      <c r="F6" s="111">
        <f>IF(OR(B5=Declaration!P9,B5=Declaration!Q9,B5=0),0,1)</f>
        <v>0</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Carly@rfuw-engineering.com</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sales@rfuw-engineering.com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+852.5742.2345</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J. Gault</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jg@rfuw-engineering.com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+852.5742.2345</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43692</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 xml:space="preserve">Tantalum  </v>
      </c>
      <c r="B15" s="106" t="str">
        <f>Declaration!D26</f>
        <v>No</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v>
      </c>
      <c r="B19" s="109"/>
      <c r="C19" s="109"/>
      <c r="D19" s="113"/>
      <c r="E19" s="88" t="s">
        <v>931</v>
      </c>
      <c r="F19" s="110"/>
      <c r="G19" s="24"/>
      <c r="H19" s="24"/>
      <c r="J19" s="190"/>
    </row>
    <row r="20" spans="1:10" ht="39">
      <c r="A20" s="107" t="str">
        <f ca="1">Declaration!B32</f>
        <v xml:space="preserve">Tantalum  </v>
      </c>
      <c r="B20" s="106">
        <f>IF($B$15="Yes",Declaration!D32,0)</f>
        <v>0</v>
      </c>
      <c r="C20" s="106" t="str">
        <f t="shared" ca="1" si="3"/>
        <v>Complete</v>
      </c>
      <c r="D20" s="114" t="str">
        <f>IF(H20=1,"Click here to answer question 2 for Tantalum","")</f>
        <v/>
      </c>
      <c r="E20" s="88" t="s">
        <v>930</v>
      </c>
      <c r="F20" s="111">
        <f>IF(B$15="No",0,1)</f>
        <v>0</v>
      </c>
      <c r="G20" s="85">
        <f t="shared" si="4"/>
        <v>1</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IF($B$16="Yes",Declaration!D33,0)</f>
        <v>0</v>
      </c>
      <c r="C21" s="106" t="str">
        <f t="shared" ca="1" si="3"/>
        <v>Complete</v>
      </c>
      <c r="D21" s="114" t="str">
        <f>IF(H21=1,"Click here to answer question 2 for Tin","")</f>
        <v/>
      </c>
      <c r="E21" s="88" t="s">
        <v>930</v>
      </c>
      <c r="F21" s="111">
        <f>IF(B$16="No",0,1)</f>
        <v>0</v>
      </c>
      <c r="G21" s="85">
        <f t="shared" si="4"/>
        <v>1</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v>
      </c>
      <c r="B24" s="109"/>
      <c r="C24" s="109"/>
      <c r="D24" s="113"/>
      <c r="E24" s="88" t="s">
        <v>930</v>
      </c>
      <c r="F24" s="110"/>
      <c r="G24" s="24"/>
      <c r="H24" s="24"/>
      <c r="J24" s="190"/>
    </row>
    <row r="25" spans="1:10" ht="51">
      <c r="A25" s="107" t="str">
        <f ca="1">Declaration!B38</f>
        <v xml:space="preserve">Tantalum  </v>
      </c>
      <c r="B25" s="106">
        <f>IF(AND($B$15="Yes",$B$20="Yes"),Declaration!D38,0)</f>
        <v>0</v>
      </c>
      <c r="C25" s="106" t="str">
        <f t="shared" ca="1" si="3"/>
        <v>Complete</v>
      </c>
      <c r="D25" s="114" t="str">
        <f>IF(H25=1,"Click here to answer question 3 for Tantalum","")</f>
        <v/>
      </c>
      <c r="E25" s="88" t="s">
        <v>930</v>
      </c>
      <c r="F25" s="111">
        <f>IF(OR(B15="No",B20="No"),0,1)</f>
        <v>0</v>
      </c>
      <c r="G25" s="85">
        <f t="shared" ref="G25:G60" si="5">IF(B25=0,1,0)</f>
        <v>1</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IF(AND($B$16="Yes",$B$21="Yes"),Declaration!D39,0)</f>
        <v>0</v>
      </c>
      <c r="C26" s="106" t="str">
        <f t="shared" ca="1" si="3"/>
        <v>Complete</v>
      </c>
      <c r="D26" s="114" t="str">
        <f>IF(H26=1,"Click here to answer question 3 for Tin","")</f>
        <v/>
      </c>
      <c r="E26" s="88" t="s">
        <v>930</v>
      </c>
      <c r="F26" s="111">
        <f>IF(OR(B16="No",B21="No"),0,1)</f>
        <v>0</v>
      </c>
      <c r="G26" s="85">
        <f t="shared" si="5"/>
        <v>1</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 xml:space="preserve">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 xml:space="preserve">Tantalum  </v>
      </c>
      <c r="B30" s="106">
        <f>IF(AND($B$15="Yes",$B$20="Yes"),Declaration!D44,0)</f>
        <v>0</v>
      </c>
      <c r="C30" s="106" t="str">
        <f ca="1">IF(H30=1,J30,I30)</f>
        <v>Complete</v>
      </c>
      <c r="D30" s="114" t="str">
        <f>IF(H30=1,"Click here to answer question 4 for Tantalum","")</f>
        <v/>
      </c>
      <c r="E30" s="88" t="s">
        <v>1452</v>
      </c>
      <c r="F30" s="111">
        <f>F25</f>
        <v>0</v>
      </c>
      <c r="G30" s="85">
        <f>IF(B30=0,1,0)</f>
        <v>1</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IF(AND($B$16="Yes",$B$21="Yes"),Declaration!D45,0)</f>
        <v>0</v>
      </c>
      <c r="C31" s="106" t="str">
        <f ca="1">IF(H31=1,J31,I31)</f>
        <v>Complete</v>
      </c>
      <c r="D31" s="114" t="str">
        <f>IF(H31=1,"Click here to answer question 4 for Tin","")</f>
        <v/>
      </c>
      <c r="E31" s="88" t="s">
        <v>1452</v>
      </c>
      <c r="F31" s="111">
        <f>F26</f>
        <v>0</v>
      </c>
      <c r="G31" s="85">
        <f>IF(B31=0,1,0)</f>
        <v>1</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Unknown</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 xml:space="preserve">5) What percentage of relevant suppliers have provided a response to your supply chain survey? </v>
      </c>
      <c r="B34" s="109"/>
      <c r="C34" s="109"/>
      <c r="D34" s="113"/>
      <c r="E34" s="88" t="s">
        <v>930</v>
      </c>
      <c r="F34" s="110"/>
      <c r="G34" s="24"/>
      <c r="H34" s="24"/>
    </row>
    <row r="35" spans="1:10" ht="26.25">
      <c r="A35" s="107" t="str">
        <f ca="1">Declaration!B50</f>
        <v xml:space="preserve">Tantalum  </v>
      </c>
      <c r="B35" s="106">
        <f>IF(AND($B$15="Yes",$B$20="Yes"),Declaration!D50,0)</f>
        <v>0</v>
      </c>
      <c r="C35" s="106" t="str">
        <f t="shared" ca="1" si="3"/>
        <v>Complete</v>
      </c>
      <c r="D35" s="112" t="str">
        <f>IF(H35=1,"Click here to answer question 5 for Tantalum","")</f>
        <v/>
      </c>
      <c r="E35" s="88" t="s">
        <v>929</v>
      </c>
      <c r="F35" s="111">
        <f>F25</f>
        <v>0</v>
      </c>
      <c r="G35" s="85">
        <f t="shared" si="5"/>
        <v>1</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 xml:space="preserve">Tin  </v>
      </c>
      <c r="B36" s="106">
        <f>IF(AND($B$16="Yes",$B$21="Yes"),Declaration!D51,0)</f>
        <v>0</v>
      </c>
      <c r="C36" s="106" t="str">
        <f ca="1">IF(H36=1,J36,I36)</f>
        <v>Complete</v>
      </c>
      <c r="D36" s="112" t="str">
        <f>IF(H36=1,"Click here to answer question 5 for Tin","")</f>
        <v/>
      </c>
      <c r="E36" s="88" t="s">
        <v>929</v>
      </c>
      <c r="F36" s="111">
        <f>F26</f>
        <v>0</v>
      </c>
      <c r="G36" s="85">
        <f t="shared" si="5"/>
        <v>1</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None</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 xml:space="preserve">6) Have you identified all of the smelters supplying the 3TG to your supply chain? </v>
      </c>
      <c r="B39" s="109"/>
      <c r="C39" s="109"/>
      <c r="D39" s="113"/>
      <c r="E39" s="88" t="s">
        <v>931</v>
      </c>
      <c r="F39" s="110"/>
      <c r="G39" s="24"/>
      <c r="H39" s="24"/>
    </row>
    <row r="40" spans="1:10" ht="51.75">
      <c r="A40" s="107" t="str">
        <f ca="1">Declaration!B56</f>
        <v xml:space="preserve">Tantalum  </v>
      </c>
      <c r="B40" s="106">
        <f>IF(AND($B$15="Yes",$B$20="Yes"),Declaration!D56,0)</f>
        <v>0</v>
      </c>
      <c r="C40" s="106" t="str">
        <f t="shared" ca="1" si="3"/>
        <v>Complete</v>
      </c>
      <c r="D40" s="114" t="str">
        <f>IF(H40=1,"Click here to answer question 6 for Tantalum","")</f>
        <v/>
      </c>
      <c r="E40" s="88" t="s">
        <v>1448</v>
      </c>
      <c r="F40" s="111">
        <f>F25</f>
        <v>0</v>
      </c>
      <c r="G40" s="85">
        <f t="shared" si="5"/>
        <v>1</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 xml:space="preserve">Tin  </v>
      </c>
      <c r="B41" s="106">
        <f>IF(AND($B$16="Yes",$B$21="Yes"),Declaration!D57,0)</f>
        <v>0</v>
      </c>
      <c r="C41" s="106" t="str">
        <f t="shared" ca="1" si="3"/>
        <v>Complete</v>
      </c>
      <c r="D41" s="114" t="str">
        <f>IF(H41=1,"Click here to answer question 6 for Tin","")</f>
        <v/>
      </c>
      <c r="E41" s="88" t="s">
        <v>1448</v>
      </c>
      <c r="F41" s="111">
        <f>F26</f>
        <v>0</v>
      </c>
      <c r="G41" s="85">
        <f t="shared" si="5"/>
        <v>1</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 xml:space="preserve">7) Has all applicable smelter information received by your company been reported in this declaration? </v>
      </c>
      <c r="B44" s="109"/>
      <c r="C44" s="109"/>
      <c r="D44" s="113"/>
      <c r="E44" s="88" t="s">
        <v>932</v>
      </c>
      <c r="F44" s="110"/>
      <c r="G44" s="24"/>
      <c r="H44" s="24"/>
    </row>
    <row r="45" spans="1:10" ht="39">
      <c r="A45" s="107" t="str">
        <f ca="1">Declaration!B62</f>
        <v xml:space="preserve">Tantalum  </v>
      </c>
      <c r="B45" s="106">
        <f>IF(AND($B$15="Yes",$B$20="Yes"),Declaration!D62,0)</f>
        <v>0</v>
      </c>
      <c r="C45" s="106" t="str">
        <f t="shared" ca="1" si="3"/>
        <v>Complete</v>
      </c>
      <c r="D45" s="115" t="str">
        <f>IF(H45=1,"Click here to answer question 7 for Tantalum","")</f>
        <v/>
      </c>
      <c r="E45" s="88" t="s">
        <v>930</v>
      </c>
      <c r="F45" s="111">
        <f>F25</f>
        <v>0</v>
      </c>
      <c r="G45" s="85">
        <f t="shared" si="5"/>
        <v>1</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IF(AND($B$16="Yes",$B$21="Yes"),Declaration!D63,0)</f>
        <v>0</v>
      </c>
      <c r="C46" s="106" t="str">
        <f t="shared" ca="1" si="3"/>
        <v>Complete</v>
      </c>
      <c r="D46" s="115" t="str">
        <f>IF(H46=1,"Click here to answer question 7 for Tin","")</f>
        <v/>
      </c>
      <c r="E46" s="88" t="s">
        <v>930</v>
      </c>
      <c r="F46" s="111">
        <f>F26</f>
        <v>0</v>
      </c>
      <c r="G46" s="85">
        <f t="shared" si="5"/>
        <v>1</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No</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v>
      </c>
      <c r="B50" s="106" t="str">
        <f>Declaration!D69</f>
        <v>No</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v>
      </c>
      <c r="B51" s="106" t="str">
        <f>Declaration!D71</f>
        <v>No</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t="str">
        <f>Declaration!D73</f>
        <v>No</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v>
      </c>
      <c r="B55" s="106" t="str">
        <f>Declaration!D77</f>
        <v>No</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t="str">
        <f>Declaration!D79</f>
        <v>No</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v>
      </c>
      <c r="B58" s="106" t="str">
        <f>Declaration!D81</f>
        <v>No</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t="str">
        <f>Declaration!D83</f>
        <v>No</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IF(K62=1,L62,IF(B15="No","Not Required",IF(G62=0,I62,J62)))</f>
        <v>Not Required</v>
      </c>
      <c r="D62" s="112" t="str">
        <f>IF(H62=0,"","Click here to provide smelter information")</f>
        <v/>
      </c>
      <c r="E62" s="88" t="s">
        <v>1452</v>
      </c>
      <c r="F62" s="111">
        <f>F25</f>
        <v>0</v>
      </c>
      <c r="G62" s="85">
        <f>IF(AND(COUNTIF(SmelterIdetifiedForMetal,"Tantalum")&gt;0,COUNTIF('Smelter List'!AB$5:AB$2493,"Tantalum?*")&gt;0),0,1)</f>
        <v>1</v>
      </c>
      <c r="H62" s="86">
        <f t="shared"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IF(K63=1,L63,IF(B16="No","Not Required",IF(G63=0,I63,J63)))</f>
        <v>Not Required</v>
      </c>
      <c r="D63" s="112" t="str">
        <f>IF(H63=0,"","Click here to provide smelter information")</f>
        <v/>
      </c>
      <c r="E63" s="88" t="s">
        <v>930</v>
      </c>
      <c r="F63" s="111">
        <f>F26</f>
        <v>0</v>
      </c>
      <c r="G63" s="85">
        <f>IF(AND(COUNTIF(SmelterIdetifiedForMetal,"Tin")&gt;0,COUNTIF('Smelter List'!AB$5:AB$2493,"Tin?*")&gt;0),0,1)</f>
        <v>1</v>
      </c>
      <c r="H63" s="86">
        <f t="shared"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Provide list of gold smelters contributing material to supply chain on Smelter List tab</v>
      </c>
      <c r="D64" s="112" t="str">
        <f>IF(H64=0,"","Click here to provide smelter information")</f>
        <v>Click here to provide smelter information</v>
      </c>
      <c r="E64" s="88" t="s">
        <v>930</v>
      </c>
      <c r="F64" s="111">
        <f>F27</f>
        <v>1</v>
      </c>
      <c r="G64" s="85">
        <f>IF(AND(COUNTIF(SmelterIdetifiedForMetal,"Gold")&gt;0,COUNTIF('Smelter List'!AB$5:AB$2493,"Gold?*")&gt;0),0,1)</f>
        <v>1</v>
      </c>
      <c r="H64" s="86">
        <f t="shared" si="6"/>
        <v>1</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IF(H65=0,"","Click here to provide smelter information")</f>
        <v/>
      </c>
      <c r="E65" s="88" t="s">
        <v>930</v>
      </c>
      <c r="F65" s="111">
        <f>F28</f>
        <v>0</v>
      </c>
      <c r="G65" s="85">
        <f>IF(AND(COUNTIF(SmelterIdetifiedForMetal,"Tungsten")&gt;0,COUNTIF('Smelter List'!AB$5:AB$2493,"Tungsten?*")&gt;0),0,1)</f>
        <v>1</v>
      </c>
      <c r="H65" s="86">
        <f t="shared"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IF(F66=0,J66,IF(G66=0,I66,L66))</f>
        <v>N/A</v>
      </c>
      <c r="D66" s="112"/>
      <c r="E66" s="88"/>
      <c r="F66" s="111">
        <f>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1</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39" t="str">
        <f ca="1">OFFSET(L!$C$1,MATCH("Product List"&amp;ADDRESS(ROW(),COLUMN(),4),L!$A:$A,0)-1,SL,,)</f>
        <v>Completion required only if reporting level "Product (or List of Products)" selected on the 'Declaration' worksheet.</v>
      </c>
      <c r="B1" s="440"/>
      <c r="C1" s="440"/>
      <c r="D1" s="440"/>
      <c r="E1" s="150"/>
    </row>
    <row r="2" spans="1:6">
      <c r="A2" s="29"/>
      <c r="B2" s="152"/>
      <c r="C2" s="152"/>
      <c r="D2"/>
      <c r="E2" s="30"/>
    </row>
    <row r="3" spans="1:6">
      <c r="A3" s="29"/>
      <c r="B3" s="152"/>
      <c r="C3" s="152"/>
      <c r="D3" s="152"/>
      <c r="E3" s="30"/>
    </row>
    <row r="4" spans="1:6" ht="15.75" customHeight="1">
      <c r="A4" s="29"/>
      <c r="B4" s="438" t="s">
        <v>1026</v>
      </c>
      <c r="C4" s="438"/>
      <c r="D4" s="438"/>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1" t="str">
        <f ca="1">OFFSET(L!$C$1,MATCH("General"&amp;"Cpy",L!$A:$A,0)-1,SL,,)</f>
        <v>© 2018 Responsible Minerals Initiative. All rights reserved.</v>
      </c>
      <c r="C1001" s="441"/>
      <c r="D1001" s="441"/>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65" activePane="bottomLeft" state="frozen"/>
      <selection pane="bottomLeft" activeCell="B88" sqref="B88"/>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2"/>
      <c r="C1" s="442"/>
      <c r="D1" s="442"/>
      <c r="E1" s="442"/>
      <c r="F1" s="442"/>
      <c r="G1" s="442"/>
    </row>
    <row r="2" spans="1:16">
      <c r="A2" s="443"/>
      <c r="B2" s="443"/>
      <c r="C2" s="443"/>
      <c r="D2" s="443"/>
      <c r="E2" s="443"/>
      <c r="F2" s="443"/>
      <c r="G2" s="443"/>
      <c r="H2" s="443"/>
      <c r="I2" s="443"/>
    </row>
    <row r="3" spans="1:16">
      <c r="A3" s="443"/>
      <c r="B3" s="443"/>
      <c r="C3" s="443"/>
      <c r="D3" s="443"/>
      <c r="E3" s="443"/>
      <c r="F3" s="443"/>
      <c r="G3" s="443"/>
      <c r="H3" s="443"/>
      <c r="I3" s="443"/>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Windows User</cp:lastModifiedBy>
  <cp:lastPrinted>2015-04-21T20:47:43Z</cp:lastPrinted>
  <dcterms:created xsi:type="dcterms:W3CDTF">2010-06-21T21:00:23Z</dcterms:created>
  <dcterms:modified xsi:type="dcterms:W3CDTF">2019-08-15T11:05:49Z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